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23.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15.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21.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20.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18.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22.xml"/>
  <Override ContentType="application/vnd.openxmlformats-officedocument.spreadsheetml.worksheet+xml" PartName="/xl/worksheets/sheet7.xml"/>
  <Override ContentType="application/vnd.openxmlformats-officedocument.extended-properties+xml" PartName="/docProps/app.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23.xml"/>
  <Override ContentType="application/vnd.openxmlformats-officedocument.drawing+xml" PartName="/xl/drawings/drawing21.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19.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11.xml"/>
  <Override ContentType="application/vnd.openxmlformats-officedocument.drawing+xml" PartName="/xl/drawings/drawing20.xml"/>
  <Override ContentType="application/vnd.openxmlformats-officedocument.drawing+xml" PartName="/xl/drawings/drawing2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5.xml"/>
  <Override ContentType="application/vnd.openxmlformats-officedocument.spreadsheetml.externalLink+xml" PartName="/xl/externalLinks/externalLink4.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extended-properties" Target="docProps/app.xml"/><Relationship Id="rId2" Type="http://schemas.openxmlformats.org/package/2006/relationships/metadata/core-properties" Target="docProps/core.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Note for users" sheetId="1" r:id="rId4"/>
    <sheet state="visible" name="1.Project Cost and MOF" sheetId="2" r:id="rId5"/>
    <sheet state="visible" name="2.Capex Details" sheetId="3" r:id="rId6"/>
    <sheet state="visible" name="3.Other Exp &amp; Taxes" sheetId="4" r:id="rId7"/>
    <sheet state="hidden" name="Sheet1" sheetId="5" r:id="rId8"/>
    <sheet state="visible" name="4.TL repayment sch" sheetId="6" r:id="rId9"/>
    <sheet state="visible" name="5.Closing Stock &amp; W Capital" sheetId="7" r:id="rId10"/>
    <sheet state="visible" name="6.Cons Profit &amp; Loss" sheetId="8" r:id="rId11"/>
    <sheet state="visible" name="7.Balance Sheet" sheetId="9" r:id="rId12"/>
    <sheet state="visible" name="8.Cash Flow " sheetId="10" r:id="rId13"/>
    <sheet state="visible" name="9.1 Financial indiacators" sheetId="11" r:id="rId14"/>
    <sheet state="visible" name="10.Grain Production details" sheetId="12" r:id="rId15"/>
    <sheet state="visible" name="11.F&amp;V Crop Production details" sheetId="13" r:id="rId16"/>
    <sheet state="visible" name="12.Facility 1 - Trading" sheetId="14" r:id="rId17"/>
    <sheet state="visible" name="13.Facility 2 Grain Processing" sheetId="15" r:id="rId18"/>
    <sheet state="visible" name="14. Facility 3 Warehouse" sheetId="16" r:id="rId19"/>
    <sheet state="visible" name="15. Facility 4 Custom Hiring" sheetId="17" r:id="rId20"/>
    <sheet state="visible" name="16.Facility 5 Agri Input" sheetId="18" r:id="rId21"/>
    <sheet state="visible" name="17.Facility 6 Horti Processing " sheetId="19" r:id="rId22"/>
    <sheet state="hidden" name="VGF" sheetId="20" r:id="rId23"/>
    <sheet state="hidden" name="Output" sheetId="21" r:id="rId24"/>
    <sheet state="hidden" name="Sheet2" sheetId="22" r:id="rId25"/>
    <sheet state="hidden" name="Sheet3" sheetId="23" r:id="rId26"/>
  </sheets>
  <externalReferences>
    <externalReference r:id="rId27"/>
    <externalReference r:id="rId28"/>
    <externalReference r:id="rId29"/>
    <externalReference r:id="rId30"/>
    <externalReference r:id="rId31"/>
  </externalReferences>
  <definedNames>
    <definedName name="_Fill">#REF!</definedName>
    <definedName name="FORM4B">#REF!</definedName>
    <definedName name="Admin">#REF!</definedName>
    <definedName name="FORM3B">#REF!</definedName>
    <definedName name="ANNEXC">#REF!</definedName>
    <definedName name="rate4">#REF!</definedName>
    <definedName name="FORM5">#REF!</definedName>
    <definedName name="ANNEXB">#REF!</definedName>
    <definedName name="FORM2A">#REF!</definedName>
    <definedName name="ANNEXA">#REF!</definedName>
    <definedName name="ANNEXG">#REF!</definedName>
    <definedName name="FORM3D">#REF!</definedName>
    <definedName name="Q">#REF!</definedName>
    <definedName name="FORM3C">#REF!</definedName>
    <definedName name="A">#REF!</definedName>
    <definedName name="rate1">#REF!</definedName>
    <definedName name="FORM6B">#REF!</definedName>
    <definedName name="b">#REF!</definedName>
    <definedName name="FORM6A">#REF!</definedName>
    <definedName name="FORM4A">#REF!</definedName>
    <definedName name="interest">#REF!</definedName>
    <definedName name="ANNEXF">#REF!</definedName>
    <definedName name="ANNEXJ">#REF!</definedName>
    <definedName name="Z">#REF!</definedName>
    <definedName name="rate3">#REF!</definedName>
    <definedName name="ANNEXI">#REF!</definedName>
    <definedName name="ANNEXH">#REF!</definedName>
    <definedName name="ANNEXE">#REF!</definedName>
    <definedName name="rate2">#REF!</definedName>
    <definedName name="ANNEXD">#REF!</definedName>
    <definedName name="FORM1">#REF!</definedName>
    <definedName name="FORM2B">#REF!</definedName>
    <definedName name="X">#REF!</definedName>
    <definedName name="FORM3A">#REF!</definedName>
  </definedNames>
  <calcPr/>
</workbook>
</file>

<file path=xl/sharedStrings.xml><?xml version="1.0" encoding="utf-8"?>
<sst xmlns="http://schemas.openxmlformats.org/spreadsheetml/2006/main" count="1763" uniqueCount="804">
  <si>
    <t>Note for users</t>
  </si>
  <si>
    <t xml:space="preserve">Draft Business Plan Financial Calculator </t>
  </si>
  <si>
    <t xml:space="preserve">1.0 About the calculator </t>
  </si>
  <si>
    <r>
      <rPr>
        <rFont val="Calibri"/>
        <color/>
        <sz val="11.0"/>
      </rPr>
      <t xml:space="preserve">The business plan financial calculator will be the tool to generate the financial projection of the business plan based on the certain data inputs. </t>
    </r>
    <r>
      <rPr>
        <rFont val="Calibri"/>
        <b/>
        <color/>
        <sz val="11.0"/>
      </rPr>
      <t xml:space="preserve">It will be the tool which can be easily used by any professional who understand the basic accounting. The business plan financial calculator will generate following statements automatically based on certain data inputs:
</t>
    </r>
    <r>
      <rPr>
        <rFont val="Calibri"/>
        <color/>
        <sz val="11.0"/>
      </rPr>
      <t>1. Profit and Loss Statement
2. Cash Flow Statement
3. Balance Sheet
4</t>
    </r>
    <r>
      <rPr>
        <rFont val="Calibri"/>
        <color rgb="FFC00000"/>
        <sz val="11.0"/>
      </rPr>
      <t xml:space="preserve">. </t>
    </r>
    <r>
      <rPr>
        <rFont val="Calibri"/>
        <color/>
        <sz val="11.0"/>
      </rPr>
      <t xml:space="preserve">Depreciation, amortization and tax calculation </t>
    </r>
    <r>
      <rPr>
        <rFont val="Calibri"/>
        <color/>
        <sz val="11.0"/>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rFont val="Calibri"/>
        <b/>
        <color/>
        <sz val="11.0"/>
      </rPr>
      <t xml:space="preserve">
The above ratios will help  decision makers for approving the business plan / Full Project Report.</t>
    </r>
  </si>
  <si>
    <t xml:space="preserve">2.0 Features </t>
  </si>
  <si>
    <t>1.0 It helps in preparing financial projections for both type of sub-projects.i.e. Grain and Fruits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 that will helps to understand the project feasible or not</t>
  </si>
  <si>
    <t xml:space="preserve">3.0 Preparatory work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</si>
  <si>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</si>
  <si>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t xml:space="preserve">4.0 Colour codes used </t>
  </si>
  <si>
    <t>Colour code</t>
  </si>
  <si>
    <t>Description</t>
  </si>
  <si>
    <t>Need to change/Place Values Manually</t>
  </si>
  <si>
    <t>Need to change figures subject to</t>
  </si>
  <si>
    <t xml:space="preserve">5.0 Guidance  note for using calculator </t>
  </si>
  <si>
    <t>Steps</t>
  </si>
  <si>
    <t xml:space="preserve">Sheet name </t>
  </si>
  <si>
    <t>Process</t>
  </si>
  <si>
    <t>Sheet No</t>
  </si>
  <si>
    <t>Remark</t>
  </si>
  <si>
    <t>A</t>
  </si>
  <si>
    <t xml:space="preserve"> Sheet in which need to enter data</t>
  </si>
  <si>
    <t>Step-1</t>
  </si>
  <si>
    <t>Grain production details &amp; or F &amp; V production details  (Marketable surplus)</t>
  </si>
  <si>
    <t xml:space="preserve">Please fill data in yellow colour cells i.e. members no, non-members , average area etc. </t>
  </si>
  <si>
    <t>Sheet No. 10 for grain and 11 for F &amp; V</t>
  </si>
  <si>
    <t>Step-2</t>
  </si>
  <si>
    <t xml:space="preserve">CAPEX Details </t>
  </si>
  <si>
    <t xml:space="preserve">Kindly fill yellow cells by using rates mentioned in estimates of civil structures and quotation's of machineries and equipment's </t>
  </si>
  <si>
    <t>Sheet No. 2</t>
  </si>
  <si>
    <t>Step-3</t>
  </si>
  <si>
    <t>Project cost and Means of finance with financial indicators</t>
  </si>
  <si>
    <t>Please add bank loan per cent if applicable other wise put zero</t>
  </si>
  <si>
    <t>Sheet No. 1</t>
  </si>
  <si>
    <t xml:space="preserve">Generate automatically </t>
  </si>
  <si>
    <t>Step-4</t>
  </si>
  <si>
    <t xml:space="preserve">Business activity wise revenue, expenditure  and profit calculation </t>
  </si>
  <si>
    <t xml:space="preserve">Facility-1 / Business activity -Trading </t>
  </si>
  <si>
    <t xml:space="preserve">Please fill necessary details in yellow cells  for calculating revenue and expenditure of identified business activities only. </t>
  </si>
  <si>
    <t>Sheet No. 12</t>
  </si>
  <si>
    <t xml:space="preserve">Facility-2 / Business activity - Processing (Grain, pulses, oilseed) </t>
  </si>
  <si>
    <t>Sheet No. 13</t>
  </si>
  <si>
    <t>Facility-3 Business activity -Warehouse</t>
  </si>
  <si>
    <t>Sheet No. 14</t>
  </si>
  <si>
    <t xml:space="preserve">Facility-4 Business activity -Custom hiring </t>
  </si>
  <si>
    <t>Sheet No. 15</t>
  </si>
  <si>
    <t>Facility-5 Business activity - Agri. Input</t>
  </si>
  <si>
    <t>Sheet No. 16</t>
  </si>
  <si>
    <t>Facility-6 Business activity -Processing  (Horti. Produce)</t>
  </si>
  <si>
    <t>Sheet No. 17</t>
  </si>
  <si>
    <t>Step-5</t>
  </si>
  <si>
    <t>Other expenditure and taxes</t>
  </si>
  <si>
    <t>Please add staff salary and other details in Yellow cell (in 3.1 table only)</t>
  </si>
  <si>
    <t>Sheet no.3 (Ref. 3.1 table only)</t>
  </si>
  <si>
    <t>Step-6</t>
  </si>
  <si>
    <t xml:space="preserve">TL repayment schedule </t>
  </si>
  <si>
    <t>Please add interest rate, tenure and Moratorium Period ( In Month) in green cells</t>
  </si>
  <si>
    <t>Sheet No. 4</t>
  </si>
  <si>
    <t>Step-7</t>
  </si>
  <si>
    <t xml:space="preserve">Closing stock and working capital </t>
  </si>
  <si>
    <t>Please add necessary details in yellow and green cells</t>
  </si>
  <si>
    <t>Sheet No. 5</t>
  </si>
  <si>
    <t>B</t>
  </si>
  <si>
    <t xml:space="preserve">Auto generating sheets  (No need to enter any data) </t>
  </si>
  <si>
    <t>B1</t>
  </si>
  <si>
    <t>Profit and Loss Statement</t>
  </si>
  <si>
    <t>Sheet No. 6</t>
  </si>
  <si>
    <t>B2</t>
  </si>
  <si>
    <t>Cash Flow Statement</t>
  </si>
  <si>
    <t>Sheet No. 7</t>
  </si>
  <si>
    <t>B3</t>
  </si>
  <si>
    <t>Balance Sheet</t>
  </si>
  <si>
    <t>Sheet No. 8</t>
  </si>
  <si>
    <t>B4</t>
  </si>
  <si>
    <t>Financial indicators  (IRR, BEP,NPV, ROI, Pay back period, DSCR, sensitivity analysis )</t>
  </si>
  <si>
    <t>Sheet No.9</t>
  </si>
  <si>
    <t>B5</t>
  </si>
  <si>
    <t xml:space="preserve">Depreciation, amortization and tax calculation </t>
  </si>
  <si>
    <t>Sheet No. 3 (3.2 &amp; 3.3)</t>
  </si>
  <si>
    <t>Step-8</t>
  </si>
  <si>
    <t xml:space="preserve">Copy relevant tables in word file of FPP </t>
  </si>
  <si>
    <t>VGF Purpose</t>
  </si>
  <si>
    <t>1.1 Total Project Cost</t>
  </si>
  <si>
    <t>Sr. No.</t>
  </si>
  <si>
    <t>Particular</t>
  </si>
  <si>
    <t>Amount (Rs.)</t>
  </si>
  <si>
    <t xml:space="preserve">Grant (%) </t>
  </si>
  <si>
    <t>Grant Amount (Rs.)</t>
  </si>
  <si>
    <t>Working Capital</t>
  </si>
  <si>
    <t>Total</t>
  </si>
  <si>
    <t>Total Project Costs means  the costs incurred or to be incurred by a FPC in connection with or incidental to the Construction and acquisition of assets including preoprtaive expenditure , design, construction and Working Capital</t>
  </si>
  <si>
    <t>1.2 Means of Finance</t>
  </si>
  <si>
    <t>Bank Loan (%)</t>
  </si>
  <si>
    <t xml:space="preserve">Govt. Grant under SMART Project </t>
  </si>
  <si>
    <t>Bank Finance - Long Term Loan (= Total Project Cost- Smart Grant - Own Contribution)</t>
  </si>
  <si>
    <t>Bank Finance - Long Term Loan</t>
  </si>
  <si>
    <t>Own Contribution (=Fixed Assets*10%)</t>
  </si>
  <si>
    <t xml:space="preserve">Own Contribution (= Total project cost-Govt. grant-bank finance) </t>
  </si>
  <si>
    <t>This sheet provide details of how total project cost will raised</t>
  </si>
  <si>
    <t>1.3 Financial Indicators</t>
  </si>
  <si>
    <t>Financial ratio</t>
  </si>
  <si>
    <t>Estimated</t>
  </si>
  <si>
    <t>Result</t>
  </si>
  <si>
    <t>Permissible limit</t>
  </si>
  <si>
    <t>Break Even Point (BEP)</t>
  </si>
  <si>
    <t>Project Viable</t>
  </si>
  <si>
    <t xml:space="preserve">BEP shall be less than 60% </t>
  </si>
  <si>
    <t xml:space="preserve">BEP shall be more than 50% </t>
  </si>
  <si>
    <t>Avg. Return on Capital Employed Average (ROCE)</t>
  </si>
  <si>
    <t xml:space="preserve">RoCE  for the project shall be more than 12% </t>
  </si>
  <si>
    <t>Internal Rate of Return (IRR)</t>
  </si>
  <si>
    <t xml:space="preserve">The project internal rate of return shall be more than 10% </t>
  </si>
  <si>
    <t xml:space="preserve">The project internal rate of return shall be more than 12% </t>
  </si>
  <si>
    <t>Net present value (at a discount rate of 10 per cent)</t>
  </si>
  <si>
    <t>NPV is high and positive at a conservative project life of 7 years</t>
  </si>
  <si>
    <t xml:space="preserve">With a discount rate of 10% and a span of 7 operational years, the NPV should be positive </t>
  </si>
  <si>
    <t>NPV is high and positive at a conservative project life of 5 years</t>
  </si>
  <si>
    <t>Payback period</t>
  </si>
  <si>
    <t xml:space="preserve">The Pack Back Period (Project/ Equity) shall be less than 7 years </t>
  </si>
  <si>
    <t>Debt Service Coverage Ratio (DSCR)</t>
  </si>
  <si>
    <t>DSCR shall be more than 2 for better performing project.</t>
  </si>
  <si>
    <t>Land and Building</t>
  </si>
  <si>
    <t>Unit</t>
  </si>
  <si>
    <t>No. of Unit</t>
  </si>
  <si>
    <t>Rate per unit</t>
  </si>
  <si>
    <t>Land</t>
  </si>
  <si>
    <t>Sq. ft.</t>
  </si>
  <si>
    <t>Lease</t>
  </si>
  <si>
    <t xml:space="preserve">Construction of Warehouse </t>
  </si>
  <si>
    <t>Sq. Mtrs.</t>
  </si>
  <si>
    <t>Construction of Dal Mill Shed</t>
  </si>
  <si>
    <t>Construction of Weighing Bridge &amp; Security Cabin</t>
  </si>
  <si>
    <t>This Sheet provide details of land and various construction, including area, rate per unit and total amount</t>
  </si>
  <si>
    <t>Machinery and Equipment</t>
  </si>
  <si>
    <t>Capacity</t>
  </si>
  <si>
    <t>No. Required</t>
  </si>
  <si>
    <t>Rate</t>
  </si>
  <si>
    <t>Total HP</t>
  </si>
  <si>
    <t>Custom Hiring</t>
  </si>
  <si>
    <t>Tractor 45 HP, 4 WD</t>
  </si>
  <si>
    <t>Cultivator</t>
  </si>
  <si>
    <t xml:space="preserve">Plough </t>
  </si>
  <si>
    <t>tractor mounted operated sprayer (45 BHP)</t>
  </si>
  <si>
    <t>Multicrop Planter</t>
  </si>
  <si>
    <t>V Pass</t>
  </si>
  <si>
    <t>Wakhar</t>
  </si>
  <si>
    <t>Rejd Bed Planter</t>
  </si>
  <si>
    <t>Rotavator (7 Feet)</t>
  </si>
  <si>
    <t>Handam ( Thresher)</t>
  </si>
  <si>
    <t>Subsoiler</t>
  </si>
  <si>
    <t>Subtotal</t>
  </si>
  <si>
    <t>Dal Mill</t>
  </si>
  <si>
    <t>500 Kg/Hr</t>
  </si>
  <si>
    <t>Multi Grain Cleaning Machine (4 Screen Round Grader)</t>
  </si>
  <si>
    <t xml:space="preserve">Extra Lifting Bucket Elevator </t>
  </si>
  <si>
    <t>Emery Roll Machine with Emery Roll</t>
  </si>
  <si>
    <t xml:space="preserve">Gravity Separator Machine for Size &amp; Weight Grading </t>
  </si>
  <si>
    <t>Wood Dryer Machine with Storage Tank</t>
  </si>
  <si>
    <t xml:space="preserve">Screw Conveyor </t>
  </si>
  <si>
    <t>Storage Tank for Moiture and Oiling</t>
  </si>
  <si>
    <t xml:space="preserve">Heavy Duty Flour Mill </t>
  </si>
  <si>
    <t>Fatka Machine for Breaking Grain</t>
  </si>
  <si>
    <t>Round Grader Separator Machine (4 Screen)</t>
  </si>
  <si>
    <t>Extra PreCleaner System With Structure</t>
  </si>
  <si>
    <t>Grain Polisher Machine</t>
  </si>
  <si>
    <t>Three Stage Conveyor Polisher Machine</t>
  </si>
  <si>
    <t>Motor</t>
  </si>
  <si>
    <t>GST @ 18%</t>
  </si>
  <si>
    <t>Installation Charges</t>
  </si>
  <si>
    <t>Weighing Bridge</t>
  </si>
  <si>
    <t>60 MT Weighing Bridge</t>
  </si>
  <si>
    <t>C</t>
  </si>
  <si>
    <t>Cleaning &amp; Grading</t>
  </si>
  <si>
    <t>2 TPH</t>
  </si>
  <si>
    <t>D</t>
  </si>
  <si>
    <t>Electrictiy Connection</t>
  </si>
  <si>
    <t>1 Quinatal/Hour</t>
  </si>
  <si>
    <t>This Sheet provide details of Plant &amp; Machinary, including Capacity, rate per machaine, Power Consuption and total amount</t>
  </si>
  <si>
    <t>Furniture and Fixture</t>
  </si>
  <si>
    <t>This Sheet provide details of furniture and fixture, no.of Quantity, rate per unit and total amount</t>
  </si>
  <si>
    <t>IT &amp; It Infrastracture</t>
  </si>
  <si>
    <t>Vehicle</t>
  </si>
  <si>
    <t>This Sheet provide details of vehicles, no.of vehicle, rate per vehicle and total amount</t>
  </si>
  <si>
    <t>Preliminary Expenses</t>
  </si>
  <si>
    <t>Amount  (Rs.)</t>
  </si>
  <si>
    <t>Civil Estimation Prepartion</t>
  </si>
  <si>
    <t>DPR Prepartion</t>
  </si>
  <si>
    <t>Lease Deed</t>
  </si>
  <si>
    <t>Construction Supervision Charges</t>
  </si>
  <si>
    <t>Preliminary expenses are considered as prior expenses before the beginning of business or Projects. The eligible amount is 5% of te project cost. Minimum amount is Rs.500000/- and maximum amount is Rs.2000000/-</t>
  </si>
  <si>
    <t xml:space="preserve">3.1 Schedule of General Admin Expenses (Fixed) </t>
  </si>
  <si>
    <t>Particulars</t>
  </si>
  <si>
    <t>No.of Unit</t>
  </si>
  <si>
    <t>Unit Cost</t>
  </si>
  <si>
    <t>Y1</t>
  </si>
  <si>
    <t>Y2</t>
  </si>
  <si>
    <t>Y3</t>
  </si>
  <si>
    <t>Y4</t>
  </si>
  <si>
    <t>Y5</t>
  </si>
  <si>
    <t>Y6</t>
  </si>
  <si>
    <t>Y7</t>
  </si>
  <si>
    <t xml:space="preserve"> Manager</t>
  </si>
  <si>
    <t>No.</t>
  </si>
  <si>
    <t>Accountant</t>
  </si>
  <si>
    <t>Watchmen</t>
  </si>
  <si>
    <t>Telephone and internet Exp</t>
  </si>
  <si>
    <t>Months</t>
  </si>
  <si>
    <t>Office Electricity Exp</t>
  </si>
  <si>
    <t>Printing &amp; Stationary</t>
  </si>
  <si>
    <t>Land Lease</t>
  </si>
  <si>
    <t>Misc.expenses</t>
  </si>
  <si>
    <t>Audit and Legal Compliences expenses</t>
  </si>
  <si>
    <t>Lumsum</t>
  </si>
  <si>
    <t xml:space="preserve">         Total Admin Expense</t>
  </si>
  <si>
    <t>if it is related to salary it should multiply by 12 months.</t>
  </si>
  <si>
    <t>3.2 Depreciation</t>
  </si>
  <si>
    <t>As per companies Act</t>
  </si>
  <si>
    <t>As per IT Act</t>
  </si>
  <si>
    <t>Assets</t>
  </si>
  <si>
    <t>Building</t>
  </si>
  <si>
    <t>Asset Value</t>
  </si>
  <si>
    <t>Depreciation</t>
  </si>
  <si>
    <t>Accumulated Depreciation</t>
  </si>
  <si>
    <t>Net Fixed Assets</t>
  </si>
  <si>
    <t>Plant and Machinary</t>
  </si>
  <si>
    <t>Furniture and Electrification</t>
  </si>
  <si>
    <t>Vehical</t>
  </si>
  <si>
    <t>IT Infrastracture</t>
  </si>
  <si>
    <t>Gross Fixed Asset</t>
  </si>
  <si>
    <t xml:space="preserve">Total Depreciation </t>
  </si>
  <si>
    <t>Accumalated Depreciation</t>
  </si>
  <si>
    <t>Amortization: Straight Line Method (SLM) is used</t>
  </si>
  <si>
    <t>Depriciation percent</t>
  </si>
  <si>
    <t>Depriciation percent as per IT Act</t>
  </si>
  <si>
    <t>Depreciation: Straight Line Method (SLM) is used</t>
  </si>
  <si>
    <t>SLM</t>
  </si>
  <si>
    <t>WDV</t>
  </si>
  <si>
    <t>IT and Infrastructure</t>
  </si>
  <si>
    <t>Plant and machinery</t>
  </si>
  <si>
    <t>Pre-operative or pre-incubation</t>
  </si>
  <si>
    <t>3.3 Amortization Schedule</t>
  </si>
  <si>
    <t>Years</t>
  </si>
  <si>
    <t>Total Value</t>
  </si>
  <si>
    <t>3.4 Tax Schedule</t>
  </si>
  <si>
    <t>EBT</t>
  </si>
  <si>
    <t>Add Depreciation as per companies Act</t>
  </si>
  <si>
    <t>Less Depreciation as per IT Act</t>
  </si>
  <si>
    <t>Taxable Income</t>
  </si>
  <si>
    <t>Provision of Taxes</t>
  </si>
  <si>
    <t>Maximum Tax rate</t>
  </si>
  <si>
    <t>This Sheet refer for provision of tax calculation</t>
  </si>
  <si>
    <t>Rate/Unit</t>
  </si>
  <si>
    <t>Total Amount</t>
  </si>
  <si>
    <t>Percentage%</t>
  </si>
  <si>
    <t xml:space="preserve">Pre-harvest </t>
  </si>
  <si>
    <t>Operational days in a year (Days)</t>
  </si>
  <si>
    <t xml:space="preserve">B </t>
  </si>
  <si>
    <t>Post Harvest</t>
  </si>
  <si>
    <t>Whole Year</t>
  </si>
  <si>
    <t>240 Days</t>
  </si>
  <si>
    <t>Others</t>
  </si>
  <si>
    <t>Furniture &amp; Fixture</t>
  </si>
  <si>
    <t>IT &amp; IT Infrastracture</t>
  </si>
  <si>
    <t>Preliminary/Preoperative Expenses</t>
  </si>
  <si>
    <t>Total*</t>
  </si>
  <si>
    <t>* Excluding Working Capital</t>
  </si>
  <si>
    <t xml:space="preserve">4.1 Repayment Schedule </t>
  </si>
  <si>
    <t>Loan Amount (Rs)</t>
  </si>
  <si>
    <t>Interest rate /PA</t>
  </si>
  <si>
    <t>Loan Tenure in years</t>
  </si>
  <si>
    <t>Moratorium Period ( In Months)</t>
  </si>
  <si>
    <t>EMI</t>
  </si>
  <si>
    <t>Year</t>
  </si>
  <si>
    <t>Particluars</t>
  </si>
  <si>
    <t>Opening Balance</t>
  </si>
  <si>
    <t xml:space="preserve">Interest </t>
  </si>
  <si>
    <t>Pricipal Repayment</t>
  </si>
  <si>
    <t>Closing Outstanding</t>
  </si>
  <si>
    <t>Year 1</t>
  </si>
  <si>
    <t>Month 1</t>
  </si>
  <si>
    <t>Month 2</t>
  </si>
  <si>
    <t>Month 3</t>
  </si>
  <si>
    <t>Month 4</t>
  </si>
  <si>
    <t>Month 5</t>
  </si>
  <si>
    <t>Month 6</t>
  </si>
  <si>
    <t>Month 7</t>
  </si>
  <si>
    <t>Month 8</t>
  </si>
  <si>
    <t>Month 9</t>
  </si>
  <si>
    <t>Month 10</t>
  </si>
  <si>
    <t>Month 11</t>
  </si>
  <si>
    <t>Month 12</t>
  </si>
  <si>
    <t>Year 2</t>
  </si>
  <si>
    <t>Month 13</t>
  </si>
  <si>
    <t>Month 14</t>
  </si>
  <si>
    <t>Month 15</t>
  </si>
  <si>
    <t>Month 16</t>
  </si>
  <si>
    <t>Month 17</t>
  </si>
  <si>
    <t>Month 18</t>
  </si>
  <si>
    <t>Month 19</t>
  </si>
  <si>
    <t>Month 20</t>
  </si>
  <si>
    <t>Month 21</t>
  </si>
  <si>
    <t>Month 22</t>
  </si>
  <si>
    <t>Month 23</t>
  </si>
  <si>
    <t>Month 24</t>
  </si>
  <si>
    <t>Year 3</t>
  </si>
  <si>
    <t>Month 25</t>
  </si>
  <si>
    <t>Month 26</t>
  </si>
  <si>
    <t>Month 27</t>
  </si>
  <si>
    <t>Month 28</t>
  </si>
  <si>
    <t>Month 29</t>
  </si>
  <si>
    <t>Month 30</t>
  </si>
  <si>
    <t>Month 31</t>
  </si>
  <si>
    <t>Month 32</t>
  </si>
  <si>
    <t>Month 33</t>
  </si>
  <si>
    <t>Month 34</t>
  </si>
  <si>
    <t>Month 35</t>
  </si>
  <si>
    <t>Month 36</t>
  </si>
  <si>
    <t>Year 4</t>
  </si>
  <si>
    <t>Month 37</t>
  </si>
  <si>
    <t>Month 38</t>
  </si>
  <si>
    <t>Month 39</t>
  </si>
  <si>
    <t>Month 40</t>
  </si>
  <si>
    <t>Month 41</t>
  </si>
  <si>
    <t>Month 42</t>
  </si>
  <si>
    <t>Month 43</t>
  </si>
  <si>
    <t>Month 44</t>
  </si>
  <si>
    <t>Month 45</t>
  </si>
  <si>
    <t>Month 46</t>
  </si>
  <si>
    <t>Month 47</t>
  </si>
  <si>
    <t>Month 48</t>
  </si>
  <si>
    <t>Year 5</t>
  </si>
  <si>
    <t>Month 49</t>
  </si>
  <si>
    <t>Month 50</t>
  </si>
  <si>
    <t>Month 51</t>
  </si>
  <si>
    <t>Month 52</t>
  </si>
  <si>
    <t>Month 53</t>
  </si>
  <si>
    <t>Month 54</t>
  </si>
  <si>
    <t>Month 55</t>
  </si>
  <si>
    <t>Month 56</t>
  </si>
  <si>
    <t>Month 57</t>
  </si>
  <si>
    <t>Month 58</t>
  </si>
  <si>
    <t>Month 59</t>
  </si>
  <si>
    <t>Month 60</t>
  </si>
  <si>
    <t>Year 6</t>
  </si>
  <si>
    <t>Month 61</t>
  </si>
  <si>
    <t>Month 62</t>
  </si>
  <si>
    <t>Month 63</t>
  </si>
  <si>
    <t>Month 64</t>
  </si>
  <si>
    <t>Month 65</t>
  </si>
  <si>
    <t>Month 66</t>
  </si>
  <si>
    <t>Month 67</t>
  </si>
  <si>
    <t>Month 68</t>
  </si>
  <si>
    <t>Month 69</t>
  </si>
  <si>
    <t>Month 70</t>
  </si>
  <si>
    <t>Month 71</t>
  </si>
  <si>
    <t>Month 72</t>
  </si>
  <si>
    <t>Year 7</t>
  </si>
  <si>
    <t>Month 73</t>
  </si>
  <si>
    <t>Month 74</t>
  </si>
  <si>
    <t>Month 75</t>
  </si>
  <si>
    <t>Month 76</t>
  </si>
  <si>
    <t>Month 77</t>
  </si>
  <si>
    <t>Month 78</t>
  </si>
  <si>
    <t>Month 79</t>
  </si>
  <si>
    <t>Month 80</t>
  </si>
  <si>
    <t>Month 81</t>
  </si>
  <si>
    <t>Month 82</t>
  </si>
  <si>
    <t>Month 83</t>
  </si>
  <si>
    <t>Month 84</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</si>
  <si>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</si>
  <si>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Assumption:</t>
  </si>
  <si>
    <t>Rate of Interest assumed as 12%</t>
  </si>
  <si>
    <t>Moratorium Period 6 Months</t>
  </si>
  <si>
    <t>5.1 Closing and Opening Stock Calculation</t>
  </si>
  <si>
    <t>Opening Stock</t>
  </si>
  <si>
    <t>Grain Processing - Dal Mill</t>
  </si>
  <si>
    <t>F &amp; V Processing - Pomegrantes</t>
  </si>
  <si>
    <t>Agri Input</t>
  </si>
  <si>
    <t>Cost Of Production/Quintals</t>
  </si>
  <si>
    <t>Trading</t>
  </si>
  <si>
    <t>Bengal Gram</t>
  </si>
  <si>
    <t>Red Gram</t>
  </si>
  <si>
    <t>Black Gram</t>
  </si>
  <si>
    <t>Green Gram</t>
  </si>
  <si>
    <t>Pomegranate</t>
  </si>
  <si>
    <t>Purachse Price</t>
  </si>
  <si>
    <t>Purchase Price</t>
  </si>
  <si>
    <t>Closing Stock</t>
  </si>
  <si>
    <t>Total Cost of Production</t>
  </si>
  <si>
    <t xml:space="preserve">Horticulture Processing </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</si>
  <si>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</si>
  <si>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Closing stock of each facility is 5%</t>
  </si>
  <si>
    <t>5.2 Working Capital Calculation</t>
  </si>
  <si>
    <t>Duration (In days)</t>
  </si>
  <si>
    <t>Accounts Receivables (Debtors)</t>
  </si>
  <si>
    <t>Warehouse</t>
  </si>
  <si>
    <t>Processing Unit - Horti Commodity</t>
  </si>
  <si>
    <t>Accounts Payable &amp; Accrued Expenses (Creditors)</t>
  </si>
  <si>
    <t>Own Contribution</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</si>
  <si>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</si>
  <si>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Asumption:</t>
  </si>
  <si>
    <t>Company has to give credit for sale at 14 Days</t>
  </si>
  <si>
    <t>Company will receive credit from suppliers for 7 days</t>
  </si>
  <si>
    <t>25 % of Working Capital will be financed by the company and balance 75% from bank finance at 12% rate of interest</t>
  </si>
  <si>
    <t>6.1 Consolidated Profit and loss account for the Project</t>
  </si>
  <si>
    <t>Revenue</t>
  </si>
  <si>
    <t>Activity 1 - Cleaning &amp; Grading</t>
  </si>
  <si>
    <t>Activity 1 - Dal Mill</t>
  </si>
  <si>
    <t>Activity 2 - Warehouse</t>
  </si>
  <si>
    <t xml:space="preserve">Activity 3 - Custom Hiring </t>
  </si>
  <si>
    <t>Activity 4 - Agri Input Centre</t>
  </si>
  <si>
    <t>Facility 6 - Processing Unit - Horti Commodity</t>
  </si>
  <si>
    <t>Total Revenue</t>
  </si>
  <si>
    <t>Variable Cost</t>
  </si>
  <si>
    <t>Total Variable Cost</t>
  </si>
  <si>
    <t>Fixed Cost</t>
  </si>
  <si>
    <t>Admin Expenses</t>
  </si>
  <si>
    <t>Total Fixed Cost</t>
  </si>
  <si>
    <t>Total Cost</t>
  </si>
  <si>
    <t>Profit Before Depreciation ,Interest and Tax</t>
  </si>
  <si>
    <t>Amortization</t>
  </si>
  <si>
    <t>Profit Before Interest and Tax</t>
  </si>
  <si>
    <t>Interest on Term loan</t>
  </si>
  <si>
    <t>Profit Before Tax</t>
  </si>
  <si>
    <t>Less. Tax</t>
  </si>
  <si>
    <t>Profit After Tax</t>
  </si>
  <si>
    <t>Cumuilative Profit</t>
  </si>
  <si>
    <t>Projected Consolidated Profit and Loss account is to give a projection of how much money you will bring in by selling products or services and how much profit you will make from these sales.</t>
  </si>
  <si>
    <t>7.1 Balancesheet  for the Project</t>
  </si>
  <si>
    <t>ASSETS</t>
  </si>
  <si>
    <t>Current Assets</t>
  </si>
  <si>
    <t>Cash and Bank Balance</t>
  </si>
  <si>
    <t>Accounts Receivables</t>
  </si>
  <si>
    <t>Other Current Assets</t>
  </si>
  <si>
    <t>Total Current Assets</t>
  </si>
  <si>
    <t>Gross Fixed Assets</t>
  </si>
  <si>
    <t>Less: Depriciation</t>
  </si>
  <si>
    <t>Preliminary &amp; Pre- operative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</si>
  <si>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</si>
  <si>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</si>
  <si>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</si>
  <si>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</si>
  <si>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</si>
  <si>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</si>
  <si>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</si>
  <si>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</si>
  <si>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</si>
  <si>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</si>
  <si>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</si>
  <si>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Smart Grant -in-Aid</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</si>
  <si>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</si>
  <si>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</si>
  <si>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</si>
  <si>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</si>
  <si>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</si>
  <si>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</si>
  <si>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</si>
  <si>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</si>
  <si>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</si>
  <si>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</si>
  <si>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8.1 Cash Flow Statement for the Project</t>
  </si>
  <si>
    <t xml:space="preserve">Sr. </t>
  </si>
  <si>
    <t>Operating Profit</t>
  </si>
  <si>
    <t>Total Revnue</t>
  </si>
  <si>
    <t>Equity/ Share capital</t>
  </si>
  <si>
    <t>Reivestment</t>
  </si>
  <si>
    <t>Grant</t>
  </si>
  <si>
    <t>Long Term Loan</t>
  </si>
  <si>
    <t>Incease in Short Term Loan</t>
  </si>
  <si>
    <t>Increase in account rpayable</t>
  </si>
  <si>
    <t>Sub Total (A)</t>
  </si>
  <si>
    <t>Cash Outflow (Rs.)</t>
  </si>
  <si>
    <t>Capital Expenditure</t>
  </si>
  <si>
    <t>a</t>
  </si>
  <si>
    <t>b</t>
  </si>
  <si>
    <t>c</t>
  </si>
  <si>
    <t>d</t>
  </si>
  <si>
    <t>It Infrastructure</t>
  </si>
  <si>
    <t>e</t>
  </si>
  <si>
    <t>f</t>
  </si>
  <si>
    <t>Premilinary Expenses</t>
  </si>
  <si>
    <t>Operational Expenditure</t>
  </si>
  <si>
    <t>Loan Repayment</t>
  </si>
  <si>
    <t>LTL - Principal</t>
  </si>
  <si>
    <t>LTL - Interest</t>
  </si>
  <si>
    <t>STL - Principal</t>
  </si>
  <si>
    <t>STL - Interest</t>
  </si>
  <si>
    <t>Tax</t>
  </si>
  <si>
    <t>Increase in account Receivable</t>
  </si>
  <si>
    <t>Increase in Closing Stock</t>
  </si>
  <si>
    <t>Sub Total (B)</t>
  </si>
  <si>
    <t>Net Cash Flow (A-B)</t>
  </si>
  <si>
    <t>Opening Cash and Bank</t>
  </si>
  <si>
    <t>Cumulative Cash Balance</t>
  </si>
  <si>
    <t>A projected cash flow statement is used to evaluate cash inflows and outflows to deter. mine when, how much, and for how long cash deficits or surpluses will exist for a farm business during an upcoming time period. </t>
  </si>
  <si>
    <t>9.1 Internal Rate of Return</t>
  </si>
  <si>
    <t xml:space="preserve">Particular </t>
  </si>
  <si>
    <t>Y0</t>
  </si>
  <si>
    <t>Profit after Tax &amp; Diivdend</t>
  </si>
  <si>
    <r>
      <rPr>
        <rFont val="Times New Roman"/>
        <b/>
        <color rgb="FF000000"/>
        <sz val="11.0"/>
      </rPr>
      <t>Add</t>
    </r>
    <r>
      <rPr>
        <rFont val="Times New Roman"/>
        <b val="0"/>
        <color rgb="FF000000"/>
        <sz val="11.0"/>
      </rPr>
      <t>: Deprication</t>
    </r>
  </si>
  <si>
    <t>Add: Preliminary expense written off</t>
  </si>
  <si>
    <t xml:space="preserve">Net Cash Accrual (A)      </t>
  </si>
  <si>
    <t>Initial Investment/ Net Cash Accrual</t>
  </si>
  <si>
    <t>IRR</t>
  </si>
  <si>
    <t xml:space="preserve">Present Value Equivalent </t>
  </si>
  <si>
    <t>Presnt Value of Future Inflows</t>
  </si>
  <si>
    <t>Operating Net Cash Inflow</t>
  </si>
  <si>
    <t>Present Capital Outflow</t>
  </si>
  <si>
    <t>The internal rate of return (IRR) is a ratio used in financial analysis to estimate the profitability of potential investments. IRR is a discount rate that makes the net present value (NPV) of all cash flows equal to zero in a discounted cash flow analysis.</t>
  </si>
  <si>
    <t>9.2 Break even Point</t>
  </si>
  <si>
    <t>Gross Receipts</t>
  </si>
  <si>
    <t>Total Receipts</t>
  </si>
  <si>
    <t>Total Variable Exp</t>
  </si>
  <si>
    <t>Contribution</t>
  </si>
  <si>
    <t>Total Fixed exp</t>
  </si>
  <si>
    <t>BEP</t>
  </si>
  <si>
    <t>Average BEP</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</si>
  <si>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</si>
  <si>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9.3 Net Presnt Value</t>
  </si>
  <si>
    <t>Profit after Tax &amp; Dividend</t>
  </si>
  <si>
    <t>Add: Deprication</t>
  </si>
  <si>
    <t>Add. Preliminary exp Written off</t>
  </si>
  <si>
    <t>PV Factor @ 10 %</t>
  </si>
  <si>
    <t>Disc Cash Flow</t>
  </si>
  <si>
    <t>Total Discounted Cash Flows</t>
  </si>
  <si>
    <t>Present Value of Outflow</t>
  </si>
  <si>
    <t>NPV</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</si>
  <si>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</si>
  <si>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9.4 Return On Investments</t>
  </si>
  <si>
    <t>Net Profit</t>
  </si>
  <si>
    <t>Average net profit</t>
  </si>
  <si>
    <t>Total Project cost</t>
  </si>
  <si>
    <t>ROI</t>
  </si>
  <si>
    <t>Return on investment (ROI) is a performance measure used to evaluate the efficiency or profitability of an investment</t>
  </si>
  <si>
    <t>9.5 Payback Period (In years) - Project</t>
  </si>
  <si>
    <t>Initial Investment</t>
  </si>
  <si>
    <t>Cashflow - Initial Investment</t>
  </si>
  <si>
    <t>Payback period (in years) - Project</t>
  </si>
  <si>
    <t>The payback period refers to the amount of time it takes to recover the cost of an investment </t>
  </si>
  <si>
    <t>9.6 Debt Service Covergae Ratio (DSCR)</t>
  </si>
  <si>
    <t>Net Operating Income</t>
  </si>
  <si>
    <t>Total Annual EMI</t>
  </si>
  <si>
    <t>Debt Service Coverage  Ratio (DCSR)</t>
  </si>
  <si>
    <t xml:space="preserve">Avergae DSCR </t>
  </si>
  <si>
    <t>the debt-service coverage ratio (DSCR) is a measurement of a firm's available cash flow to pay current debt obligations. The DSCR shows investors whether a company has enough income to pay its debts.</t>
  </si>
  <si>
    <t>9.7 Sensitivity Analysis</t>
  </si>
  <si>
    <t>Quantity Variation (+5%)</t>
  </si>
  <si>
    <t>Quantity Variance</t>
  </si>
  <si>
    <t>Cost Variance</t>
  </si>
  <si>
    <t>Total Income</t>
  </si>
  <si>
    <t>Expenditure</t>
  </si>
  <si>
    <t>Fixed Cost (Excl. of Depreciation, Amortization and Interest)</t>
  </si>
  <si>
    <t>Total Operational Expenses</t>
  </si>
  <si>
    <t>Net Income</t>
  </si>
  <si>
    <t>Cost Variation (+5%)</t>
  </si>
  <si>
    <t>Quantity Variation (-5%)</t>
  </si>
  <si>
    <t>Cost Variation (-5%)</t>
  </si>
  <si>
    <t>Sensitivity analysis is a financial model that determines how target variables are affected based on changes in Quantity or cost variance known as input variables.Here it is assume 5% (+,-) while calculating sensitivity analysis</t>
  </si>
  <si>
    <t>Grains Crop Production Details</t>
  </si>
  <si>
    <t>10.1 Details of members and non- members</t>
  </si>
  <si>
    <t>Total No.of Members Cultivating Grain Crops</t>
  </si>
  <si>
    <t>Total No.of Non- members Cultivating Grain Crops</t>
  </si>
  <si>
    <t>Average Land Holding  per Member (Acres)</t>
  </si>
  <si>
    <t>Total Cultivated Land under grain Crop(Acres)</t>
  </si>
  <si>
    <t>Input</t>
  </si>
  <si>
    <t>total</t>
  </si>
  <si>
    <t>%</t>
  </si>
  <si>
    <t xml:space="preserve">10.2 Statement Showing Area,production,productivity and marketable Surplus of Crops </t>
  </si>
  <si>
    <t>Season</t>
  </si>
  <si>
    <t>Crop</t>
  </si>
  <si>
    <t>Cultivation In (%)</t>
  </si>
  <si>
    <t>Total Land under Cultivaion ( In Acres)</t>
  </si>
  <si>
    <t>Yield/Acres  (In Quintals)</t>
  </si>
  <si>
    <t>Total Production (In Quintals)</t>
  </si>
  <si>
    <t>Consuption in (%)</t>
  </si>
  <si>
    <t>Marketable Surplus ( In Quintals)</t>
  </si>
  <si>
    <t>Kharif</t>
  </si>
  <si>
    <t>Soybean</t>
  </si>
  <si>
    <t>Red Gram/Tur</t>
  </si>
  <si>
    <t>Paddy/Rice</t>
  </si>
  <si>
    <t>Green Gram/ Moong</t>
  </si>
  <si>
    <t>Maize</t>
  </si>
  <si>
    <t>Black Gram/Udid</t>
  </si>
  <si>
    <t>Bajra</t>
  </si>
  <si>
    <t>Jawar</t>
  </si>
  <si>
    <t>Sunflower</t>
  </si>
  <si>
    <t>Area Under Rabbi Cultivation ( In Acres)</t>
  </si>
  <si>
    <t>Rabbi</t>
  </si>
  <si>
    <t>Wheat</t>
  </si>
  <si>
    <t>Bengal Gram/Channa</t>
  </si>
  <si>
    <t>Safflower</t>
  </si>
  <si>
    <t>Area Under Summer Cultivation ( In Acres)</t>
  </si>
  <si>
    <t>Summer</t>
  </si>
  <si>
    <t>Groundnut</t>
  </si>
  <si>
    <t xml:space="preserve">Note- Please note the crops/fruits/vegetable grown in the FPC catchement which has marketable Surplus </t>
  </si>
  <si>
    <t>10.3 Quantity of Marketable Surplus Produce Considered for Trading Business</t>
  </si>
  <si>
    <t>10.4 Quantity of Marketable Surplus Produce Considered for Processing Business</t>
  </si>
  <si>
    <t>10.5 Crop-wise Area Considered for Agri Input Service Centre</t>
  </si>
  <si>
    <t>Assumptions:</t>
  </si>
  <si>
    <t>30% of total produce of the cluster will be trade in first year and it will increase everyear year by 5 %</t>
  </si>
  <si>
    <t>10% of total produce of the cluster will be Process in first year and it will increase everyear year by 5 %</t>
  </si>
  <si>
    <t xml:space="preserve">65% of total land of members is considered for Agri input service centre business </t>
  </si>
  <si>
    <t>Fruit  &amp; Vegetables Crop Production Details</t>
  </si>
  <si>
    <t>11.1 Details of members and non- members</t>
  </si>
  <si>
    <t>Total No.of Members  Cultivating F &amp; V</t>
  </si>
  <si>
    <t>Total No.of Non-members  Cultivating F &amp; V</t>
  </si>
  <si>
    <t>Average Land Holding per member(Acres)</t>
  </si>
  <si>
    <t>Total Cultivated Land Under F &amp; V (Acres)</t>
  </si>
  <si>
    <t xml:space="preserve">11.2 Statement Showing Area,production,productivity and marketable Surplus of Crops </t>
  </si>
  <si>
    <t>Onion</t>
  </si>
  <si>
    <t>Tomato</t>
  </si>
  <si>
    <t>Okra</t>
  </si>
  <si>
    <t>Chilli</t>
  </si>
  <si>
    <t>Potato</t>
  </si>
  <si>
    <t>Area Under Vegetables in Rabbi Season ( In Acres)</t>
  </si>
  <si>
    <t>Brinjal</t>
  </si>
  <si>
    <t>Area Under Vegetables in Summer Season ( In Acres)</t>
  </si>
  <si>
    <t>Area Under Fruit Crops ( In Acres)</t>
  </si>
  <si>
    <t>Custard Apple</t>
  </si>
  <si>
    <t>Guava</t>
  </si>
  <si>
    <t>Citrus</t>
  </si>
  <si>
    <t>11.3 Quantity of Marketable Surplus Produce Considered for Trading Business</t>
  </si>
  <si>
    <t>11.4 Quantity of Marketable Surplus Produce Considered for Processing Business</t>
  </si>
  <si>
    <t>11.5 Crop-wise Area Considered for Agri Input Service Centre</t>
  </si>
  <si>
    <t>35% of total produce of the cluster will be trade in first year and it will increase everyear year by 5 %</t>
  </si>
  <si>
    <t>5% of total produce of the cluster will be Process in first year and it will increase everyear year by 5 %</t>
  </si>
  <si>
    <t>Facility 3 - Trading Unit</t>
  </si>
  <si>
    <t>12.1 Producers/ Capacity Utilization</t>
  </si>
  <si>
    <t>Tentative Wastage Percentage</t>
  </si>
  <si>
    <t>Quinatal/Hour</t>
  </si>
  <si>
    <t>Commodity</t>
  </si>
  <si>
    <t>Percentage</t>
  </si>
  <si>
    <t>No. of Hours</t>
  </si>
  <si>
    <t>Grains</t>
  </si>
  <si>
    <t>Fruit and Vegetables</t>
  </si>
  <si>
    <t>No.of Working Days</t>
  </si>
  <si>
    <t>No.of Operation Days</t>
  </si>
  <si>
    <t>Total Grains Quantity to be Processed</t>
  </si>
  <si>
    <t>Total F &amp; V Quantity to be Processed</t>
  </si>
  <si>
    <t xml:space="preserve">Job Work for Grains </t>
  </si>
  <si>
    <t>Quanity for trading of Grains</t>
  </si>
  <si>
    <t>Job Work (50%)</t>
  </si>
  <si>
    <t>Quantity for sale (50%)</t>
  </si>
  <si>
    <t>Output</t>
  </si>
  <si>
    <t>12.2 Facility 1 - Profit and loss of Trading</t>
  </si>
  <si>
    <t>MT</t>
  </si>
  <si>
    <t>Job Work Charges</t>
  </si>
  <si>
    <t>Expenses</t>
  </si>
  <si>
    <t>Daily Lobour</t>
  </si>
  <si>
    <t>Electricity Charges</t>
  </si>
  <si>
    <t>Packaging Expenses</t>
  </si>
  <si>
    <t xml:space="preserve">Outword- Transportation Cost </t>
  </si>
  <si>
    <t>Add: Opening Stock</t>
  </si>
  <si>
    <t>Less: Closing Stock</t>
  </si>
  <si>
    <t>Machine Operator</t>
  </si>
  <si>
    <t>Total Expenses</t>
  </si>
  <si>
    <t>Operaing Income</t>
  </si>
  <si>
    <t>1. Inflation is assumed to be 5% anually.</t>
  </si>
  <si>
    <t>This sheet provide details capacity utilization of machines and also sale, expenses and operating profit of trading activity</t>
  </si>
  <si>
    <t>Revenue and cost is related to this facility only</t>
  </si>
  <si>
    <t>Common expenditure such as admin, depreciation and amortization not considered.</t>
  </si>
  <si>
    <t>Inflation is assumed to be 5% anually.</t>
  </si>
  <si>
    <t>Facility 2 - Grain Processing Unit - Dal Mill</t>
  </si>
  <si>
    <t>13.1 Producers/ Capacity Utilization</t>
  </si>
  <si>
    <t>Qtls P Hour</t>
  </si>
  <si>
    <t>No.of Average land</t>
  </si>
  <si>
    <t>No. of Operation Days</t>
  </si>
  <si>
    <t>Total Quantity to be Processed</t>
  </si>
  <si>
    <t>Quanity for Processing and Trading for PC</t>
  </si>
  <si>
    <t>Output (KG)</t>
  </si>
  <si>
    <t>Dal (80%)</t>
  </si>
  <si>
    <t>Husk and Powder</t>
  </si>
  <si>
    <t>Packaging (In Kg)</t>
  </si>
  <si>
    <t>13.2 Facility 2 - Profit and loss of Grain Processing Unit - Dal Mill</t>
  </si>
  <si>
    <t>Red Gram (Tur Dal)</t>
  </si>
  <si>
    <t>50 Kg</t>
  </si>
  <si>
    <t>Channa Dal</t>
  </si>
  <si>
    <t>Moog Dal</t>
  </si>
  <si>
    <t>Udid Dal</t>
  </si>
  <si>
    <t>100 Kg</t>
  </si>
  <si>
    <t>Quintals</t>
  </si>
  <si>
    <t>Oil</t>
  </si>
  <si>
    <t xml:space="preserve">Daily Labour </t>
  </si>
  <si>
    <t>packaging Exp- Dal</t>
  </si>
  <si>
    <t>Transportation Charges</t>
  </si>
  <si>
    <t>Total expenses</t>
  </si>
  <si>
    <t>This sheet provide details capacity utilization of machines and also sale, expenses and operating profit of Dal Mill activity</t>
  </si>
  <si>
    <t>Note</t>
  </si>
  <si>
    <t>The above sheet is indicative for any type of processing business of grain commodities  . The FPO has to fill the sheet logically and as per selected commodities and finish products</t>
  </si>
  <si>
    <t xml:space="preserve">As Finished Product and  size of Packaging is not confirmed/certain, therefore we can not add formula in processing sheet </t>
  </si>
  <si>
    <t>Facility 3 - Warehouse</t>
  </si>
  <si>
    <t>14.1 Capacity Utilization</t>
  </si>
  <si>
    <t>No.of Month</t>
  </si>
  <si>
    <t>Capacity Utilisation</t>
  </si>
  <si>
    <t>Total Quantity Stored per Annum</t>
  </si>
  <si>
    <t>14.2 Facility 3 - Profit and loss of Warehouse</t>
  </si>
  <si>
    <t>Storage Charges per MT per Month</t>
  </si>
  <si>
    <t>Dunnage</t>
  </si>
  <si>
    <t>Fumigation</t>
  </si>
  <si>
    <t>Eletricity</t>
  </si>
  <si>
    <t>Insurance</t>
  </si>
  <si>
    <t>Warehouse Manager</t>
  </si>
  <si>
    <t>Opperating profit</t>
  </si>
  <si>
    <t>Facility 4 - Custom Hiring</t>
  </si>
  <si>
    <t>15.1 Capacity Utlization</t>
  </si>
  <si>
    <t>Custom Hiring Equipment</t>
  </si>
  <si>
    <t>No.of Equipment</t>
  </si>
  <si>
    <t>Working Days</t>
  </si>
  <si>
    <t>No.of Hours in day</t>
  </si>
  <si>
    <t>Total Hours in a year</t>
  </si>
  <si>
    <t>Required Hrs/Acre</t>
  </si>
  <si>
    <t xml:space="preserve">Total Acres </t>
  </si>
  <si>
    <t>No.of Liters Diesel Required/acre</t>
  </si>
  <si>
    <t xml:space="preserve">Total no.of Liters required </t>
  </si>
  <si>
    <t>Service Charges/Acre (Amount (Rs.)</t>
  </si>
  <si>
    <t>Labour Requirement</t>
  </si>
  <si>
    <t>Total No. of Days Labour Reuired</t>
  </si>
  <si>
    <t>15.2 Facility 4 - Profit and loss of Custom Hiring</t>
  </si>
  <si>
    <t xml:space="preserve">Custom Hiring Charges </t>
  </si>
  <si>
    <t>acre</t>
  </si>
  <si>
    <t>Variable Expenses</t>
  </si>
  <si>
    <t>Diesel</t>
  </si>
  <si>
    <t>Litres</t>
  </si>
  <si>
    <t>Daily Labour</t>
  </si>
  <si>
    <t>No. of Days</t>
  </si>
  <si>
    <t>Driver for Tractors</t>
  </si>
  <si>
    <t>Operating Income</t>
  </si>
  <si>
    <t xml:space="preserve">This sheet provide details of sale, expenses and operating profit of custom hiring activity </t>
  </si>
  <si>
    <t>Facility 5 - Agri Input</t>
  </si>
  <si>
    <t>Area under crop (In Acres)</t>
  </si>
  <si>
    <t>Kharif Crops</t>
  </si>
  <si>
    <t>Rabi Crop</t>
  </si>
  <si>
    <t>Requirement of Input material</t>
  </si>
  <si>
    <t>Seeds requirement per acre (in kg)</t>
  </si>
  <si>
    <t>seed requirement /acre</t>
  </si>
  <si>
    <t>Fertilizers requirment  (in kg)</t>
  </si>
  <si>
    <t>Fert. Req. per kg.</t>
  </si>
  <si>
    <t>SSP</t>
  </si>
  <si>
    <t>Urea</t>
  </si>
  <si>
    <t>DAP</t>
  </si>
  <si>
    <t>Pesticide requirement  (lit)</t>
  </si>
  <si>
    <t>Dupont Coragen</t>
  </si>
  <si>
    <t>Confidor Boyer</t>
  </si>
  <si>
    <t>Facility 5 - Profit and loss of Agri Input</t>
  </si>
  <si>
    <t xml:space="preserve">Revenue from selling to farmers </t>
  </si>
  <si>
    <t>Seeds (Rate/KG)</t>
  </si>
  <si>
    <t>Rate/kg</t>
  </si>
  <si>
    <t>Fertilizer(Rate/KG)</t>
  </si>
  <si>
    <t>Pesticide</t>
  </si>
  <si>
    <t>Rate/lit</t>
  </si>
  <si>
    <t>FPC purchage rate</t>
  </si>
  <si>
    <t>Loading &amp; Unloading</t>
  </si>
  <si>
    <t>Transportation Cost</t>
  </si>
  <si>
    <t>Rent</t>
  </si>
  <si>
    <t>Agri Input Center Manager</t>
  </si>
  <si>
    <t>Support Staff</t>
  </si>
  <si>
    <t>Electricty Charges</t>
  </si>
  <si>
    <t>Operating cost</t>
  </si>
  <si>
    <t xml:space="preserve">This sheet provide details of sale, expenses and operating profit of agri input activity </t>
  </si>
  <si>
    <t xml:space="preserve">Facility 6 - F &amp; V Processing Unit </t>
  </si>
  <si>
    <t>17.1 Producer/Capacity Utlization</t>
  </si>
  <si>
    <t>Pomegranate Arils</t>
  </si>
  <si>
    <t>Pomegranate Juice</t>
  </si>
  <si>
    <t>Pomegranate Powder</t>
  </si>
  <si>
    <t>Pomegranate Arils 1 Kg</t>
  </si>
  <si>
    <t>Pomegranate Juice 1 Ltrs</t>
  </si>
  <si>
    <t>Pomegranate Peel Powder1 Kg</t>
  </si>
  <si>
    <t>17.2 Activity 6 - Profit and loss of F &amp; V Processing Unit</t>
  </si>
  <si>
    <t>Quiantals</t>
  </si>
  <si>
    <t>Ltrs</t>
  </si>
  <si>
    <t>Kg</t>
  </si>
  <si>
    <t>Pomegatnte</t>
  </si>
  <si>
    <t>Other Consumbales</t>
  </si>
  <si>
    <t>Loading/Unloading Charges</t>
  </si>
  <si>
    <t>packaging Exp</t>
  </si>
  <si>
    <t>The above sheet is indicative for any type of processing business of F &amp; V commodities . The FPO has to fill the sheet logically and as per selected commodities and finish products</t>
  </si>
  <si>
    <t>Faclitiy 1 - Cleaning &amp; Grading</t>
  </si>
  <si>
    <t>Faclitiy 2 - Processing Unit- Dal Mill</t>
  </si>
  <si>
    <t>Faclitiy 3 - Warehouse</t>
  </si>
  <si>
    <t xml:space="preserve">Faclitiy 4 - Custom Hiring </t>
  </si>
  <si>
    <t>Faclitiy 5 - Agri Input Centre</t>
  </si>
  <si>
    <t>Interest on Term loan &amp; WC</t>
  </si>
  <si>
    <r>
      <rPr>
        <rFont val="Times New Roman"/>
        <b/>
        <color rgb="FF000000"/>
        <sz val="11.0"/>
      </rPr>
      <t>Add</t>
    </r>
    <r>
      <rPr>
        <rFont val="Times New Roman"/>
        <b val="0"/>
        <color rgb="FF000000"/>
        <sz val="11.0"/>
      </rPr>
      <t>: Deprication</t>
    </r>
  </si>
  <si>
    <t>Add: Depreciation</t>
  </si>
  <si>
    <t>Add: Amortization</t>
  </si>
  <si>
    <t>Intwerest on TL</t>
  </si>
  <si>
    <t>MT/Hr</t>
  </si>
  <si>
    <t>No. of Hours in  day</t>
  </si>
  <si>
    <t>No. of Operational Days</t>
  </si>
  <si>
    <t>Capacity Utilization</t>
  </si>
  <si>
    <t>No. of operational days</t>
  </si>
  <si>
    <t>Total Material to be processed (In MT)</t>
  </si>
  <si>
    <t>Total Material to be processed (In Kg)</t>
  </si>
  <si>
    <t>Job Work</t>
  </si>
  <si>
    <t>wastage</t>
  </si>
  <si>
    <t>Input (In Kg)</t>
  </si>
  <si>
    <t>Ground Nut Seed</t>
  </si>
  <si>
    <t>Sunflower Seed</t>
  </si>
  <si>
    <t>Output- Quantity for sale (In MT)</t>
  </si>
  <si>
    <t>Output- Quantity for sale (In Liters)</t>
  </si>
  <si>
    <t>Oil Cake (In Kg)</t>
  </si>
  <si>
    <t>Sr. No</t>
  </si>
  <si>
    <t>Land (Acre)</t>
  </si>
  <si>
    <t>Productivity (ton)</t>
  </si>
  <si>
    <t>15-20</t>
  </si>
</sst>
</file>

<file path=xl/styles.xml><?xml version="1.0" encoding="utf-8"?>
<styleSheet xmlns="http://schemas.openxmlformats.org/spreadsheetml/2006/main" xmlns:x14ac="http://schemas.microsoft.com/office/spreadsheetml/2009/9/ac" xmlns:mc="http://schemas.openxmlformats.org/markup-compatibility/2006">
  <numFmts count="13">
    <numFmt numFmtId="164" formatCode="_(* #,##0_);_(* \(#,##0\);_(* &quot;-&quot;??_);_(@_)"/>
    <numFmt numFmtId="165" formatCode="_ * #,##0.00_ ;_ * \-#,##0.00_ ;_ * &quot;-&quot;??_ ;_ @_ "/>
    <numFmt numFmtId="166" formatCode="_-* #,##0_-;\-* #,##0_-;_-* &quot;-&quot;??_-;_-@"/>
    <numFmt numFmtId="167" formatCode="_-* #,##0.00_-;\-* #,##0.00_-;_-* &quot;-&quot;??_-;_-@"/>
    <numFmt numFmtId="168" formatCode="#,##0_ ;[Red]\-#,##0\ "/>
    <numFmt numFmtId="169" formatCode="#,##0.00_ ;[Red]\-#,##0.00\ "/>
    <numFmt numFmtId="170" formatCode="&quot;Rs.&quot;\ #,##0.00;[Red]&quot;Rs.&quot;\ \-#,##0.00"/>
    <numFmt numFmtId="171" formatCode="0.0"/>
    <numFmt numFmtId="172" formatCode="_(* #,##0.0000_);_(* \(#,##0.0000\);_(* &quot;-&quot;??_);_(@_)"/>
    <numFmt numFmtId="173" formatCode="_(* #,##0.00_);_(* \(#,##0.00\);_(* &quot;-&quot;??_);_(@_)"/>
    <numFmt numFmtId="174" formatCode="_ * #,##0_ ;_ * \-#,##0_ ;_ * &quot;-&quot;??_ ;_ @_ "/>
    <numFmt numFmtId="175" formatCode="_ * #,##0.0_ ;_ * \-#,##0.0_ ;_ * &quot;-&quot;??_ ;_ @_ "/>
    <numFmt numFmtId="176" formatCode="0.0%"/>
  </numFmts>
  <fonts count="56">
    <font>
      <sz val="11.0"/>
      <color/>
      <name val="Arial"/>
      <scheme val="minor"/>
    </font>
    <font>
      <sz val="11.0"/>
      <color/>
      <name val="Calibri"/>
    </font>
    <font>
      <b/>
      <sz val="24.0"/>
      <color/>
      <name val="Calibri"/>
    </font>
    <font/>
    <font>
      <b/>
      <u/>
      <sz val="18.0"/>
      <color/>
      <name val="Calibri"/>
    </font>
    <font>
      <b/>
      <sz val="18.0"/>
      <color/>
      <name val="Calibri"/>
    </font>
    <font>
      <b/>
      <sz val="11.0"/>
      <color/>
      <name val="Calibri"/>
    </font>
    <font>
      <b/>
      <sz val="11.0"/>
      <color rgb="FFC00000"/>
      <name val="Calibri"/>
    </font>
    <font>
      <b/>
      <sz val="14.0"/>
      <color/>
      <name val="Times New Roman"/>
    </font>
    <font>
      <b/>
      <sz val="10.0"/>
      <color rgb="FFFFFFFF"/>
      <name val="Times New Roman"/>
    </font>
    <font>
      <sz val="10.0"/>
      <color rgb="FF000000"/>
      <name val="Times New Roman"/>
    </font>
    <font>
      <sz val="10.0"/>
      <color/>
      <name val="Calibri"/>
    </font>
    <font>
      <sz val="11.0"/>
      <color rgb="FF000000"/>
      <name val="Times New Roman"/>
    </font>
    <font>
      <b/>
      <sz val="10.0"/>
      <color rgb="FF000000"/>
      <name val="Times New Roman"/>
    </font>
    <font>
      <b/>
      <sz val="8.0"/>
      <name val="Inherit"/>
    </font>
    <font>
      <sz val="11.0"/>
      <color rgb="FF000000"/>
      <name val="Garamond"/>
    </font>
    <font>
      <b/>
      <sz val="11.0"/>
      <color rgb="FFFFFFFF"/>
      <name val="Times New Roman"/>
    </font>
    <font>
      <sz val="11.0"/>
      <name val="Times New Roman"/>
    </font>
    <font>
      <sz val="11.0"/>
      <color/>
      <name val="Times New Roman"/>
    </font>
    <font>
      <b/>
      <sz val="11.0"/>
      <color/>
      <name val="Times New Roman"/>
    </font>
    <font>
      <b/>
      <sz val="11.0"/>
      <color rgb="FF000000"/>
      <name val="Times New Roman"/>
    </font>
    <font>
      <b/>
      <sz val="11.0"/>
      <color rgb="FFFFFFFF"/>
      <name val="Garamond"/>
    </font>
    <font>
      <b/>
      <sz val="11.0"/>
      <color rgb="FF000000"/>
      <name val="Garamond"/>
    </font>
    <font>
      <b/>
      <sz val="11.0"/>
      <color rgb="FF202124"/>
      <name val="Garamond"/>
    </font>
    <font>
      <b/>
      <sz val="11.0"/>
      <name val="Calibri"/>
    </font>
    <font>
      <b/>
      <sz val="14.0"/>
      <name val="Times New Roman"/>
    </font>
    <font>
      <b/>
      <u/>
      <sz val="11.0"/>
      <color rgb="FF000000"/>
      <name val="Times New Roman"/>
    </font>
    <font>
      <b/>
      <i/>
      <sz val="11.0"/>
      <color rgb="FF000000"/>
      <name val="Times New Roman"/>
    </font>
    <font>
      <b/>
      <sz val="11.0"/>
      <name val="Times New Roman"/>
    </font>
    <font>
      <sz val="11.0"/>
      <name val="Calibri"/>
    </font>
    <font>
      <b/>
      <u/>
      <sz val="11.0"/>
      <color rgb="FF0000FF"/>
      <name val="Calibri"/>
    </font>
    <font>
      <sz val="11.0"/>
      <color rgb="FF000000"/>
      <name val="Calibri"/>
    </font>
    <font>
      <sz val="10.0"/>
      <color/>
      <name val="Times New Roman"/>
    </font>
    <font>
      <b/>
      <sz val="8.0"/>
      <color rgb="FF202124"/>
      <name val="Arial"/>
    </font>
    <font>
      <b/>
      <sz val="9.0"/>
      <name val="Arial"/>
    </font>
    <font>
      <b/>
      <sz val="11.0"/>
      <color rgb="FF272727"/>
      <name val="Garamond"/>
    </font>
    <font>
      <sz val="10.0"/>
      <color rgb="FF424142"/>
      <name val="Georgia"/>
    </font>
    <font>
      <i/>
      <sz val="11.0"/>
      <color rgb="FFFF0000"/>
      <name val="Calibri"/>
    </font>
    <font>
      <b/>
      <sz val="11.0"/>
      <color rgb="FF003366"/>
      <name val="Times New Roman"/>
    </font>
    <font>
      <b/>
      <u/>
      <sz val="11.0"/>
      <name val="Times New Roman"/>
    </font>
    <font>
      <sz val="11.0"/>
      <color rgb="FF008000"/>
      <name val="Times New Roman"/>
    </font>
    <font>
      <b/>
      <u/>
      <sz val="11.0"/>
      <color rgb="FF993300"/>
      <name val="Times New Roman"/>
    </font>
    <font>
      <sz val="11.0"/>
      <color rgb="FF993300"/>
      <name val="Times New Roman"/>
    </font>
    <font>
      <b/>
      <sz val="11.0"/>
      <color rgb="FF993300"/>
      <name val="Times New Roman"/>
    </font>
    <font>
      <b/>
      <sz val="11.0"/>
      <color rgb="FF222222"/>
      <name val="Garamond"/>
    </font>
    <font>
      <b/>
      <sz val="14.0"/>
      <color rgb="FF000000"/>
      <name val="Times New Roman"/>
    </font>
    <font>
      <sz val="13.0"/>
      <color rgb="FF000000"/>
      <name val="Times New Roman"/>
    </font>
    <font>
      <sz val="12.0"/>
      <color/>
      <name val="Times New Roman"/>
    </font>
    <font>
      <sz val="13.0"/>
      <name val="Times New Roman"/>
    </font>
    <font>
      <b/>
      <u/>
      <sz val="11.0"/>
      <color rgb="FF0000FF"/>
      <name val="Garamond"/>
    </font>
    <font>
      <b/>
      <sz val="11.0"/>
      <color rgb="FF202122"/>
      <name val="Garamond"/>
    </font>
    <font>
      <b/>
      <sz val="12.0"/>
      <color/>
      <name val="Times New Roman"/>
    </font>
    <font>
      <sz val="12.0"/>
      <color rgb="FF000000"/>
      <name val="Times New Roman"/>
    </font>
    <font>
      <sz val="12.0"/>
      <name val="Times New Roman"/>
    </font>
    <font>
      <b/>
      <sz val="16.0"/>
      <color/>
      <name val="Calibri"/>
    </font>
    <font>
      <b/>
      <sz val="11.0"/>
      <color rgb="FF111111"/>
      <name val="Garamond"/>
    </font>
  </fonts>
  <fills count="11">
    <fill>
      <patternFill patternType="none"/>
    </fill>
    <fill>
      <patternFill patternType="lightGray"/>
    </fill>
    <fill>
      <patternFill patternType="solid">
        <fgColor rgb="FFFABF8F"/>
        <bgColor rgb="FFFABF8F"/>
      </patternFill>
    </fill>
    <fill>
      <patternFill patternType="solid">
        <fgColor rgb="FFB6DDE8"/>
        <bgColor rgb="FFB6DDE8"/>
      </patternFill>
    </fill>
    <fill>
      <patternFill patternType="solid">
        <fgColor rgb="FFD6E3BC"/>
        <bgColor rgb="FFD6E3BC"/>
      </patternFill>
    </fill>
    <fill>
      <patternFill patternType="solid">
        <fgColor rgb="FFFFFF00"/>
        <bgColor rgb="FFFFFF00"/>
      </patternFill>
    </fill>
    <fill>
      <patternFill patternType="solid">
        <fgColor rgb="FF92D050"/>
        <bgColor rgb="FF92D050"/>
      </patternFill>
    </fill>
    <fill>
      <patternFill patternType="solid">
        <fgColor rgb="FFF2DBDB"/>
        <bgColor rgb="FFF2DBDB"/>
      </patternFill>
    </fill>
    <fill>
      <patternFill patternType="solid">
        <fgColor rgb="FF494429"/>
        <bgColor rgb="FF494429"/>
      </patternFill>
    </fill>
    <fill>
      <patternFill patternType="solid">
        <fgColor rgb="FF333300"/>
        <bgColor rgb="FF333300"/>
      </patternFill>
    </fill>
    <fill>
      <patternFill patternType="solid">
        <fgColor rgb="FF00FFFF"/>
        <bgColor rgb="FF00FFFF"/>
      </patternFill>
    </fill>
  </fills>
  <borders count="34">
    <border/>
    <border>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style="thin">
        <color rgb="FF000000"/>
      </right>
      <top/>
      <bottom/>
    </border>
    <border>
      <left/>
      <right style="thin">
        <color rgb="FF000000"/>
      </right>
      <top/>
      <bottom/>
    </border>
    <border>
      <right style="medium">
        <color rgb="FF000000"/>
      </right>
    </border>
    <border>
      <left/>
      <top/>
      <bottom/>
    </border>
    <border>
      <top/>
      <bottom/>
    </border>
    <border>
      <right/>
      <top/>
      <bottom/>
    </border>
    <border>
      <left/>
      <right/>
      <top/>
      <bottom/>
    </border>
    <border>
      <left style="thin">
        <color rgb="FF000000"/>
      </left>
    </border>
    <border>
      <left style="medium">
        <color rgb="FF000000"/>
      </left>
      <right style="medium">
        <color rgb="FF000000"/>
      </right>
      <top style="medium">
        <color rgb="FF000000"/>
      </top>
      <bottom style="medium">
        <color rgb="FF000000"/>
      </bottom>
    </border>
    <border>
      <left/>
      <right style="medium">
        <color rgb="FF000000"/>
      </right>
      <top style="medium">
        <color rgb="FF000000"/>
      </top>
      <bottom style="medium">
        <color rgb="FF000000"/>
      </bottom>
    </border>
    <border>
      <left style="medium">
        <color rgb="FF000000"/>
      </left>
      <right style="medium">
        <color rgb="FF000000"/>
      </right>
      <bottom style="medium">
        <color rgb="FF000000"/>
      </bottom>
    </border>
    <border>
      <right style="medium">
        <color rgb="FF000000"/>
      </right>
      <bottom style="medium">
        <color rgb="FF000000"/>
      </bottom>
    </border>
    <border>
      <left/>
      <top/>
      <bottom style="thin">
        <color rgb="FF000000"/>
      </bottom>
    </border>
    <border>
      <top/>
      <bottom style="thin">
        <color rgb="FF000000"/>
      </bottom>
    </border>
    <border>
      <right/>
      <top/>
      <bottom style="thin">
        <color rgb="FF000000"/>
      </bottom>
    </border>
    <border>
      <left style="thin">
        <color rgb="FF000000"/>
      </left>
      <right style="thin">
        <color rgb="FF000000"/>
      </right>
      <top/>
    </border>
    <border>
      <left style="thin">
        <color rgb="FF000000"/>
      </left>
      <top/>
      <bottom style="thin">
        <color rgb="FF000000"/>
      </bottom>
    </border>
    <border>
      <left style="medium">
        <color rgb="FF000000"/>
      </left>
    </border>
    <border>
      <left style="medium">
        <color rgb="FF000000"/>
      </left>
      <right style="thin">
        <color rgb="FF000000"/>
      </right>
      <top/>
      <bottom style="thin">
        <color rgb="FF000000"/>
      </bottom>
    </border>
    <border>
      <left style="thin">
        <color rgb="FF000000"/>
      </left>
      <right style="thin">
        <color rgb="FF000000"/>
      </right>
      <top/>
      <bottom style="thin">
        <color rgb="FF000000"/>
      </bottom>
    </border>
    <border>
      <left style="medium">
        <color rgb="FF000000"/>
      </left>
      <right style="thin">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bottom style="thin">
        <color rgb="FF000000"/>
      </bottom>
    </border>
  </borders>
  <cellStyleXfs count="1">
    <xf borderId="0" fillId="0" fontId="0" numFmtId="0" applyAlignment="1" applyFont="1"/>
  </cellStyleXfs>
  <cellXfs count="403">
    <xf borderId="0" fillId="0" fontId="0" numFmtId="0" xfId="0" applyAlignment="1" applyFont="1">
      <alignment readingOrder="0" shrinkToFit="0" vertical="bottom" wrapText="0"/>
    </xf>
    <xf borderId="0" fillId="0" fontId="1" numFmtId="0" xfId="0" applyAlignment="1" applyFont="1">
      <alignment shrinkToFit="0" vertical="center" wrapText="1"/>
    </xf>
    <xf borderId="1" fillId="0" fontId="2" numFmtId="0" xfId="0" applyAlignment="1" applyBorder="1" applyFont="1">
      <alignment horizontal="center" shrinkToFit="0" vertical="center" wrapText="1"/>
    </xf>
    <xf borderId="1" fillId="0" fontId="3" numFmtId="0" xfId="0" applyBorder="1" applyFont="1"/>
    <xf borderId="2" fillId="2" fontId="4" numFmtId="0" xfId="0" applyAlignment="1" applyBorder="1" applyFill="1" applyFont="1">
      <alignment horizontal="center" shrinkToFit="0" vertical="center" wrapText="1"/>
    </xf>
    <xf borderId="3" fillId="0" fontId="3" numFmtId="0" xfId="0" applyBorder="1" applyFont="1"/>
    <xf borderId="4" fillId="0" fontId="3" numFmtId="0" xfId="0" applyBorder="1" applyFont="1"/>
    <xf borderId="2" fillId="3" fontId="5" numFmtId="0" xfId="0" applyAlignment="1" applyBorder="1" applyFill="1" applyFont="1">
      <alignment horizontal="left" shrinkToFit="0" vertical="center" wrapText="1"/>
    </xf>
    <xf borderId="2" fillId="0" fontId="1" numFmtId="0" xfId="0" applyAlignment="1" applyBorder="1" applyFont="1">
      <alignment horizontal="left" shrinkToFit="0" vertical="center" wrapText="1"/>
    </xf>
    <xf borderId="2" fillId="4" fontId="5" numFmtId="0" xfId="0" applyAlignment="1" applyBorder="1" applyFill="1" applyFont="1">
      <alignment horizontal="left" shrinkToFit="0" vertical="center" wrapText="1"/>
    </xf>
    <xf borderId="5" fillId="5" fontId="1" numFmtId="0" xfId="0" applyAlignment="1" applyBorder="1" applyFill="1" applyFont="1">
      <alignment shrinkToFit="0" vertical="center" wrapText="1"/>
    </xf>
    <xf borderId="2" fillId="0" fontId="6" numFmtId="0" xfId="0" applyAlignment="1" applyBorder="1" applyFont="1">
      <alignment horizontal="left" shrinkToFit="0" vertical="center" wrapText="1"/>
    </xf>
    <xf borderId="5" fillId="6" fontId="1" numFmtId="0" xfId="0" applyAlignment="1" applyBorder="1" applyFill="1" applyFont="1">
      <alignment shrinkToFit="0" vertical="center" wrapText="1"/>
    </xf>
    <xf borderId="3" fillId="0" fontId="1" numFmtId="0" xfId="0" applyAlignment="1" applyBorder="1" applyFont="1">
      <alignment horizontal="center" shrinkToFit="0" vertical="center" wrapText="1"/>
    </xf>
    <xf borderId="6" fillId="0" fontId="6" numFmtId="0" xfId="0" applyAlignment="1" applyBorder="1" applyFont="1">
      <alignment shrinkToFit="0" vertical="center" wrapText="1"/>
    </xf>
    <xf borderId="6" fillId="7" fontId="6" numFmtId="0" xfId="0" applyAlignment="1" applyBorder="1" applyFill="1" applyFont="1">
      <alignment shrinkToFit="0" vertical="center" wrapText="1"/>
    </xf>
    <xf borderId="6" fillId="0" fontId="7" numFmtId="0" xfId="0" applyAlignment="1" applyBorder="1" applyFont="1">
      <alignment shrinkToFit="0" vertical="center" wrapText="1"/>
    </xf>
    <xf borderId="6" fillId="0" fontId="1" numFmtId="0" xfId="0" applyAlignment="1" applyBorder="1" applyFont="1">
      <alignment shrinkToFit="0" vertical="center" wrapText="1"/>
    </xf>
    <xf borderId="7" fillId="0" fontId="1" numFmtId="0" xfId="0" applyAlignment="1" applyBorder="1" applyFont="1">
      <alignment shrinkToFit="0" vertical="center" wrapText="1"/>
    </xf>
    <xf borderId="8" fillId="0" fontId="1" numFmtId="0" xfId="0" applyAlignment="1" applyBorder="1" applyFont="1">
      <alignment horizontal="left" shrinkToFit="0" vertical="center" wrapText="1"/>
    </xf>
    <xf borderId="7" fillId="0" fontId="3" numFmtId="0" xfId="0" applyBorder="1" applyFont="1"/>
    <xf borderId="9" fillId="0" fontId="3" numFmtId="0" xfId="0" applyBorder="1" applyFont="1"/>
    <xf borderId="10" fillId="7" fontId="6" numFmtId="0" xfId="0" applyAlignment="1" applyBorder="1" applyFont="1">
      <alignment shrinkToFit="0" vertical="center" wrapText="1"/>
    </xf>
    <xf borderId="6" fillId="0" fontId="1" numFmtId="0" xfId="0" applyAlignment="1" applyBorder="1" applyFont="1">
      <alignment horizontal="center" shrinkToFit="0" vertical="center" wrapText="1"/>
    </xf>
    <xf borderId="0" fillId="0" fontId="6" numFmtId="0" xfId="0" applyAlignment="1" applyFont="1">
      <alignment horizontal="center"/>
    </xf>
    <xf borderId="0" fillId="0" fontId="8" numFmtId="0" xfId="0" applyAlignment="1" applyFont="1">
      <alignment horizontal="center"/>
    </xf>
    <xf borderId="6" fillId="8" fontId="9" numFmtId="0" xfId="0" applyAlignment="1" applyBorder="1" applyFill="1" applyFont="1">
      <alignment horizontal="center" shrinkToFit="0" vertical="center" wrapText="1"/>
    </xf>
    <xf borderId="11" fillId="8" fontId="9" numFmtId="0" xfId="0" applyAlignment="1" applyBorder="1" applyFont="1">
      <alignment horizontal="center" shrinkToFit="0" vertical="center" wrapText="1"/>
    </xf>
    <xf borderId="6" fillId="0" fontId="10" numFmtId="0" xfId="0" applyAlignment="1" applyBorder="1" applyFont="1">
      <alignment horizontal="right" shrinkToFit="0" vertical="center" wrapText="1"/>
    </xf>
    <xf borderId="6" fillId="0" fontId="10" numFmtId="0" xfId="0" applyAlignment="1" applyBorder="1" applyFont="1">
      <alignment shrinkToFit="0" vertical="center" wrapText="1"/>
    </xf>
    <xf borderId="6" fillId="0" fontId="10" numFmtId="164" xfId="0" applyAlignment="1" applyBorder="1" applyFont="1" applyNumberFormat="1">
      <alignment shrinkToFit="0" vertical="center" wrapText="1"/>
    </xf>
    <xf borderId="6" fillId="6" fontId="11" numFmtId="9" xfId="0" applyBorder="1" applyFont="1" applyNumberFormat="1"/>
    <xf borderId="6" fillId="0" fontId="11" numFmtId="164" xfId="0" applyBorder="1" applyFont="1" applyNumberFormat="1"/>
    <xf borderId="6" fillId="0" fontId="12" numFmtId="164" xfId="0" applyAlignment="1" applyBorder="1" applyFont="1" applyNumberFormat="1">
      <alignment shrinkToFit="0" vertical="center" wrapText="1"/>
    </xf>
    <xf borderId="6" fillId="0" fontId="11" numFmtId="0" xfId="0" applyBorder="1" applyFont="1"/>
    <xf borderId="2" fillId="0" fontId="13" numFmtId="0" xfId="0" applyAlignment="1" applyBorder="1" applyFont="1">
      <alignment horizontal="center" shrinkToFit="0" vertical="center" wrapText="1"/>
    </xf>
    <xf borderId="6" fillId="0" fontId="13" numFmtId="164" xfId="0" applyAlignment="1" applyBorder="1" applyFont="1" applyNumberFormat="1">
      <alignment horizontal="center" shrinkToFit="0" vertical="center" wrapText="1"/>
    </xf>
    <xf borderId="0" fillId="0" fontId="1" numFmtId="165" xfId="0" applyFont="1" applyNumberFormat="1"/>
    <xf borderId="0" fillId="0" fontId="1" numFmtId="166" xfId="0" applyFont="1" applyNumberFormat="1"/>
    <xf borderId="0" fillId="0" fontId="14" numFmtId="0" xfId="0" applyAlignment="1" applyFont="1">
      <alignment horizontal="center" shrinkToFit="0" wrapText="1"/>
    </xf>
    <xf borderId="6" fillId="8" fontId="9" numFmtId="0" xfId="0" applyAlignment="1" applyBorder="1" applyFont="1">
      <alignment shrinkToFit="0" vertical="center" wrapText="1"/>
    </xf>
    <xf borderId="6" fillId="0" fontId="10" numFmtId="9" xfId="0" applyAlignment="1" applyBorder="1" applyFont="1" applyNumberFormat="1">
      <alignment horizontal="right" shrinkToFit="0" vertical="center" wrapText="1"/>
    </xf>
    <xf borderId="6" fillId="0" fontId="10" numFmtId="164" xfId="0" applyAlignment="1" applyBorder="1" applyFont="1" applyNumberFormat="1">
      <alignment horizontal="right" shrinkToFit="0" vertical="center" wrapText="1"/>
    </xf>
    <xf borderId="6" fillId="0" fontId="10" numFmtId="166" xfId="0" applyAlignment="1" applyBorder="1" applyFont="1" applyNumberFormat="1">
      <alignment horizontal="right" shrinkToFit="0" vertical="center" wrapText="1"/>
    </xf>
    <xf borderId="0" fillId="0" fontId="1" numFmtId="164" xfId="0" applyFont="1" applyNumberFormat="1"/>
    <xf borderId="6" fillId="6" fontId="10" numFmtId="9" xfId="0" applyAlignment="1" applyBorder="1" applyFont="1" applyNumberFormat="1">
      <alignment horizontal="right" shrinkToFit="0" vertical="center" wrapText="1"/>
    </xf>
    <xf borderId="6" fillId="0" fontId="13" numFmtId="166" xfId="0" applyAlignment="1" applyBorder="1" applyFont="1" applyNumberFormat="1">
      <alignment horizontal="right" shrinkToFit="0" vertical="center" wrapText="1"/>
    </xf>
    <xf borderId="6" fillId="9" fontId="9" numFmtId="0" xfId="0" applyAlignment="1" applyBorder="1" applyFill="1" applyFont="1">
      <alignment horizontal="center" shrinkToFit="0" vertical="center" wrapText="1"/>
    </xf>
    <xf borderId="6" fillId="9" fontId="9" numFmtId="0" xfId="0" applyAlignment="1" applyBorder="1" applyFont="1">
      <alignment horizontal="center" vertical="center"/>
    </xf>
    <xf borderId="6" fillId="0" fontId="10" numFmtId="0" xfId="0" applyAlignment="1" applyBorder="1" applyFont="1">
      <alignment horizontal="center" shrinkToFit="0" vertical="center" wrapText="1"/>
    </xf>
    <xf borderId="6" fillId="0" fontId="10" numFmtId="10" xfId="0" applyAlignment="1" applyBorder="1" applyFont="1" applyNumberFormat="1">
      <alignment horizontal="center" shrinkToFit="0" vertical="center" wrapText="1"/>
    </xf>
    <xf borderId="6" fillId="0" fontId="10" numFmtId="0" xfId="0" applyAlignment="1" applyBorder="1" applyFont="1">
      <alignment horizontal="left" shrinkToFit="0" vertical="center" wrapText="1"/>
    </xf>
    <xf borderId="12" fillId="0" fontId="10" numFmtId="0" xfId="0" applyAlignment="1" applyBorder="1" applyFont="1">
      <alignment horizontal="left" shrinkToFit="0" vertical="center" wrapText="1"/>
    </xf>
    <xf borderId="0" fillId="0" fontId="10" numFmtId="0" xfId="0" applyAlignment="1" applyFont="1">
      <alignment horizontal="left" shrinkToFit="0" vertical="center" wrapText="1"/>
    </xf>
    <xf borderId="6" fillId="0" fontId="10" numFmtId="3" xfId="0" applyAlignment="1" applyBorder="1" applyFont="1" applyNumberFormat="1">
      <alignment horizontal="center" shrinkToFit="0" vertical="center" wrapText="1"/>
    </xf>
    <xf borderId="6" fillId="0" fontId="10" numFmtId="2" xfId="0" applyAlignment="1" applyBorder="1" applyFont="1" applyNumberFormat="1">
      <alignment horizontal="center" shrinkToFit="0" vertical="center" wrapText="1"/>
    </xf>
    <xf borderId="6" fillId="0" fontId="15" numFmtId="0" xfId="0" applyAlignment="1" applyBorder="1" applyFont="1">
      <alignment shrinkToFit="0" vertical="center" wrapText="1"/>
    </xf>
    <xf borderId="6" fillId="0" fontId="15" numFmtId="0" xfId="0" applyAlignment="1" applyBorder="1" applyFont="1">
      <alignment horizontal="center" shrinkToFit="0" vertical="center" wrapText="1"/>
    </xf>
    <xf borderId="6" fillId="8" fontId="16" numFmtId="0" xfId="0" applyAlignment="1" applyBorder="1" applyFont="1">
      <alignment horizontal="center" shrinkToFit="0" vertical="center" wrapText="1"/>
    </xf>
    <xf borderId="6" fillId="0" fontId="17" numFmtId="0" xfId="0" applyAlignment="1" applyBorder="1" applyFont="1">
      <alignment shrinkToFit="0" vertical="center" wrapText="1"/>
    </xf>
    <xf borderId="6" fillId="0" fontId="17" numFmtId="0" xfId="0" applyAlignment="1" applyBorder="1" applyFont="1">
      <alignment horizontal="left" shrinkToFit="0" vertical="center" wrapText="1"/>
    </xf>
    <xf borderId="6" fillId="0" fontId="17" numFmtId="0" xfId="0" applyAlignment="1" applyBorder="1" applyFont="1">
      <alignment horizontal="center" shrinkToFit="0" vertical="center" wrapText="1"/>
    </xf>
    <xf borderId="6" fillId="0" fontId="17" numFmtId="167" xfId="0" applyAlignment="1" applyBorder="1" applyFont="1" applyNumberFormat="1">
      <alignment horizontal="right" shrinkToFit="0" vertical="center" wrapText="1"/>
    </xf>
    <xf borderId="6" fillId="0" fontId="18" numFmtId="0" xfId="0" applyAlignment="1" applyBorder="1" applyFont="1">
      <alignment shrinkToFit="0" vertical="center" wrapText="1"/>
    </xf>
    <xf borderId="6" fillId="0" fontId="17" numFmtId="164" xfId="0" applyAlignment="1" applyBorder="1" applyFont="1" applyNumberFormat="1">
      <alignment horizontal="left" shrinkToFit="0" vertical="center" wrapText="1"/>
    </xf>
    <xf borderId="8" fillId="0" fontId="17" numFmtId="164" xfId="0" applyAlignment="1" applyBorder="1" applyFont="1" applyNumberFormat="1">
      <alignment shrinkToFit="0" vertical="center" wrapText="1"/>
    </xf>
    <xf borderId="9" fillId="0" fontId="17" numFmtId="164" xfId="0" applyAlignment="1" applyBorder="1" applyFont="1" applyNumberFormat="1">
      <alignment shrinkToFit="0" vertical="center" wrapText="1"/>
    </xf>
    <xf borderId="6" fillId="0" fontId="17" numFmtId="164" xfId="0" applyAlignment="1" applyBorder="1" applyFont="1" applyNumberFormat="1">
      <alignment shrinkToFit="0" vertical="center" wrapText="1"/>
    </xf>
    <xf borderId="6" fillId="0" fontId="17" numFmtId="164" xfId="0" applyAlignment="1" applyBorder="1" applyFont="1" applyNumberFormat="1">
      <alignment horizontal="right" shrinkToFit="0" vertical="center" wrapText="1"/>
    </xf>
    <xf borderId="2" fillId="0" fontId="19" numFmtId="0" xfId="0" applyAlignment="1" applyBorder="1" applyFont="1">
      <alignment horizontal="center" shrinkToFit="0" vertical="center" wrapText="1"/>
    </xf>
    <xf borderId="6" fillId="0" fontId="19" numFmtId="166" xfId="0" applyAlignment="1" applyBorder="1" applyFont="1" applyNumberFormat="1">
      <alignment horizontal="right" shrinkToFit="0" vertical="center" wrapText="1"/>
    </xf>
    <xf borderId="0" fillId="0" fontId="1" numFmtId="0" xfId="0" applyAlignment="1" applyFont="1">
      <alignment horizontal="center"/>
    </xf>
    <xf borderId="6" fillId="0" fontId="12" numFmtId="0" xfId="0" applyAlignment="1" applyBorder="1" applyFont="1">
      <alignment horizontal="center" shrinkToFit="0" vertical="center" wrapText="1"/>
    </xf>
    <xf borderId="6" fillId="0" fontId="18" numFmtId="0" xfId="0" applyBorder="1" applyFont="1"/>
    <xf borderId="6" fillId="0" fontId="12" numFmtId="166" xfId="0" applyAlignment="1" applyBorder="1" applyFont="1" applyNumberFormat="1">
      <alignment horizontal="right" shrinkToFit="0" vertical="center" wrapText="1"/>
    </xf>
    <xf borderId="6" fillId="5" fontId="18" numFmtId="0" xfId="0" applyBorder="1" applyFont="1"/>
    <xf borderId="6" fillId="0" fontId="20" numFmtId="0" xfId="0" applyAlignment="1" applyBorder="1" applyFont="1">
      <alignment horizontal="center" shrinkToFit="0" vertical="center" wrapText="1"/>
    </xf>
    <xf borderId="6" fillId="0" fontId="20" numFmtId="0" xfId="0" applyAlignment="1" applyBorder="1" applyFont="1">
      <alignment shrinkToFit="0" vertical="center" wrapText="1"/>
    </xf>
    <xf borderId="6" fillId="0" fontId="20" numFmtId="164" xfId="0" applyAlignment="1" applyBorder="1" applyFont="1" applyNumberFormat="1">
      <alignment horizontal="right" shrinkToFit="0" vertical="center" wrapText="1"/>
    </xf>
    <xf borderId="6" fillId="5" fontId="19" numFmtId="0" xfId="0" applyBorder="1" applyFont="1"/>
    <xf borderId="2" fillId="0" fontId="20" numFmtId="0" xfId="0" applyAlignment="1" applyBorder="1" applyFont="1">
      <alignment horizontal="center" shrinkToFit="0" vertical="center" wrapText="1"/>
    </xf>
    <xf borderId="6" fillId="0" fontId="20" numFmtId="166" xfId="0" applyAlignment="1" applyBorder="1" applyFont="1" applyNumberFormat="1">
      <alignment horizontal="right" shrinkToFit="0" vertical="center" wrapText="1"/>
    </xf>
    <xf borderId="6" fillId="5" fontId="12" numFmtId="166" xfId="0" applyAlignment="1" applyBorder="1" applyFont="1" applyNumberFormat="1">
      <alignment horizontal="right" shrinkToFit="0" vertical="center" wrapText="1"/>
    </xf>
    <xf borderId="6" fillId="0" fontId="6" numFmtId="0" xfId="0" applyAlignment="1" applyBorder="1" applyFont="1">
      <alignment shrinkToFit="0" wrapText="1"/>
    </xf>
    <xf borderId="6" fillId="0" fontId="12" numFmtId="0" xfId="0" applyAlignment="1" applyBorder="1" applyFont="1">
      <alignment shrinkToFit="0" vertical="center" wrapText="1"/>
    </xf>
    <xf borderId="6" fillId="0" fontId="1" numFmtId="0" xfId="0" applyBorder="1" applyFont="1"/>
    <xf borderId="2" fillId="0" fontId="6" numFmtId="0" xfId="0" applyAlignment="1" applyBorder="1" applyFont="1">
      <alignment horizontal="center" shrinkToFit="0" wrapText="1"/>
    </xf>
    <xf borderId="6" fillId="5" fontId="20" numFmtId="166" xfId="0" applyAlignment="1" applyBorder="1" applyFont="1" applyNumberFormat="1">
      <alignment horizontal="right" shrinkToFit="0" vertical="center" wrapText="1"/>
    </xf>
    <xf borderId="6" fillId="0" fontId="20" numFmtId="0" xfId="0" applyAlignment="1" applyBorder="1" applyFont="1">
      <alignment horizontal="left" shrinkToFit="0" vertical="center" wrapText="1"/>
    </xf>
    <xf borderId="6" fillId="0" fontId="12" numFmtId="166" xfId="0" applyAlignment="1" applyBorder="1" applyFont="1" applyNumberFormat="1">
      <alignment horizontal="center" shrinkToFit="0" vertical="center" wrapText="1"/>
    </xf>
    <xf borderId="0" fillId="0" fontId="1" numFmtId="167" xfId="0" applyFont="1" applyNumberFormat="1"/>
    <xf borderId="6" fillId="8" fontId="21" numFmtId="0" xfId="0" applyAlignment="1" applyBorder="1" applyFont="1">
      <alignment shrinkToFit="0" vertical="center" wrapText="1"/>
    </xf>
    <xf borderId="6" fillId="8" fontId="21" numFmtId="0" xfId="0" applyAlignment="1" applyBorder="1" applyFont="1">
      <alignment horizontal="center" shrinkToFit="0" vertical="center" wrapText="1"/>
    </xf>
    <xf borderId="6" fillId="5" fontId="15" numFmtId="0" xfId="0" applyAlignment="1" applyBorder="1" applyFont="1">
      <alignment horizontal="center" shrinkToFit="0" vertical="center" wrapText="1"/>
    </xf>
    <xf borderId="6" fillId="5" fontId="15" numFmtId="0" xfId="0" applyAlignment="1" applyBorder="1" applyFont="1">
      <alignment shrinkToFit="0" vertical="center" wrapText="1"/>
    </xf>
    <xf borderId="6" fillId="5" fontId="15" numFmtId="166" xfId="0" applyAlignment="1" applyBorder="1" applyFont="1" applyNumberFormat="1">
      <alignment horizontal="center" shrinkToFit="0" vertical="center" wrapText="1"/>
    </xf>
    <xf borderId="6" fillId="5" fontId="15" numFmtId="166" xfId="0" applyAlignment="1" applyBorder="1" applyFont="1" applyNumberFormat="1">
      <alignment horizontal="right" shrinkToFit="0" vertical="center" wrapText="1"/>
    </xf>
    <xf borderId="2" fillId="0" fontId="22" numFmtId="0" xfId="0" applyAlignment="1" applyBorder="1" applyFont="1">
      <alignment horizontal="center" shrinkToFit="0" vertical="center" wrapText="1"/>
    </xf>
    <xf borderId="6" fillId="0" fontId="22" numFmtId="166" xfId="0" applyAlignment="1" applyBorder="1" applyFont="1" applyNumberFormat="1">
      <alignment horizontal="right" shrinkToFit="0" vertical="center" wrapText="1"/>
    </xf>
    <xf borderId="6" fillId="8" fontId="16" numFmtId="0" xfId="0" applyAlignment="1" applyBorder="1" applyFont="1">
      <alignment shrinkToFit="0" vertical="center" wrapText="1"/>
    </xf>
    <xf borderId="6" fillId="5" fontId="12" numFmtId="0" xfId="0" applyAlignment="1" applyBorder="1" applyFont="1">
      <alignment horizontal="center" shrinkToFit="0" vertical="center" wrapText="1"/>
    </xf>
    <xf borderId="6" fillId="5" fontId="12" numFmtId="0" xfId="0" applyAlignment="1" applyBorder="1" applyFont="1">
      <alignment shrinkToFit="0" vertical="center" wrapText="1"/>
    </xf>
    <xf borderId="6" fillId="5" fontId="12" numFmtId="166" xfId="0" applyAlignment="1" applyBorder="1" applyFont="1" applyNumberFormat="1">
      <alignment horizontal="center" shrinkToFit="0" vertical="center" wrapText="1"/>
    </xf>
    <xf borderId="2" fillId="5" fontId="20" numFmtId="0" xfId="0" applyAlignment="1" applyBorder="1" applyFont="1">
      <alignment horizontal="center" shrinkToFit="0" vertical="center" wrapText="1"/>
    </xf>
    <xf borderId="6" fillId="5" fontId="20" numFmtId="0" xfId="0" applyAlignment="1" applyBorder="1" applyFont="1">
      <alignment horizontal="center" shrinkToFit="0" vertical="center" wrapText="1"/>
    </xf>
    <xf borderId="6" fillId="5" fontId="20" numFmtId="166" xfId="0" applyAlignment="1" applyBorder="1" applyFont="1" applyNumberFormat="1">
      <alignment horizontal="center" shrinkToFit="0" vertical="center" wrapText="1"/>
    </xf>
    <xf borderId="13" fillId="6" fontId="6" numFmtId="0" xfId="0" applyAlignment="1" applyBorder="1" applyFont="1">
      <alignment horizontal="center"/>
    </xf>
    <xf borderId="14" fillId="0" fontId="3" numFmtId="0" xfId="0" applyBorder="1" applyFont="1"/>
    <xf borderId="15" fillId="0" fontId="3" numFmtId="0" xfId="0" applyBorder="1" applyFont="1"/>
    <xf borderId="6" fillId="0" fontId="12" numFmtId="0" xfId="0" applyAlignment="1" applyBorder="1" applyFont="1">
      <alignment horizontal="right" shrinkToFit="0" vertical="center" wrapText="1"/>
    </xf>
    <xf borderId="0" fillId="0" fontId="23" numFmtId="0" xfId="0" applyAlignment="1" applyFont="1">
      <alignment horizontal="left" shrinkToFit="0" wrapText="1"/>
    </xf>
    <xf borderId="0" fillId="0" fontId="18" numFmtId="0" xfId="0" applyFont="1"/>
    <xf borderId="0" fillId="0" fontId="18" numFmtId="9" xfId="0" applyFont="1" applyNumberFormat="1"/>
    <xf borderId="0" fillId="0" fontId="18" numFmtId="10" xfId="0" applyFont="1" applyNumberFormat="1"/>
    <xf borderId="6" fillId="8" fontId="19" numFmtId="0" xfId="0" applyBorder="1" applyFont="1"/>
    <xf borderId="6" fillId="8" fontId="19" numFmtId="0" xfId="0" applyAlignment="1" applyBorder="1" applyFont="1">
      <alignment horizontal="center"/>
    </xf>
    <xf borderId="6" fillId="0" fontId="18" numFmtId="164" xfId="0" applyBorder="1" applyFont="1" applyNumberFormat="1"/>
    <xf borderId="6" fillId="0" fontId="19" numFmtId="0" xfId="0" applyBorder="1" applyFont="1"/>
    <xf borderId="6" fillId="0" fontId="19" numFmtId="164" xfId="0" applyBorder="1" applyFont="1" applyNumberFormat="1"/>
    <xf borderId="0" fillId="0" fontId="6" numFmtId="0" xfId="0" applyFont="1"/>
    <xf borderId="0" fillId="0" fontId="24" numFmtId="0" xfId="0" applyAlignment="1" applyFont="1">
      <alignment horizontal="center"/>
    </xf>
    <xf borderId="0" fillId="0" fontId="25" numFmtId="0" xfId="0" applyAlignment="1" applyFont="1">
      <alignment horizontal="center"/>
    </xf>
    <xf borderId="1" fillId="0" fontId="19" numFmtId="0" xfId="0" applyAlignment="1" applyBorder="1" applyFont="1">
      <alignment horizontal="center"/>
    </xf>
    <xf borderId="1" fillId="0" fontId="6" numFmtId="0" xfId="0" applyAlignment="1" applyBorder="1" applyFont="1">
      <alignment horizontal="center"/>
    </xf>
    <xf borderId="6" fillId="8" fontId="20" numFmtId="0" xfId="0" applyBorder="1" applyFont="1"/>
    <xf borderId="6" fillId="8" fontId="19" numFmtId="0" xfId="0" applyAlignment="1" applyBorder="1" applyFont="1">
      <alignment horizontal="center" shrinkToFit="0" wrapText="1"/>
    </xf>
    <xf borderId="6" fillId="0" fontId="20" numFmtId="0" xfId="0" applyAlignment="1" applyBorder="1" applyFont="1">
      <alignment horizontal="center"/>
    </xf>
    <xf borderId="6" fillId="0" fontId="26" numFmtId="0" xfId="0" applyBorder="1" applyFont="1"/>
    <xf borderId="6" fillId="0" fontId="27" numFmtId="0" xfId="0" applyAlignment="1" applyBorder="1" applyFont="1">
      <alignment horizontal="center"/>
    </xf>
    <xf borderId="6" fillId="0" fontId="18" numFmtId="0" xfId="0" applyAlignment="1" applyBorder="1" applyFont="1">
      <alignment horizontal="left"/>
    </xf>
    <xf borderId="6" fillId="0" fontId="20" numFmtId="0" xfId="0" applyAlignment="1" applyBorder="1" applyFont="1">
      <alignment horizontal="left"/>
    </xf>
    <xf borderId="6" fillId="0" fontId="17" numFmtId="166" xfId="0" applyBorder="1" applyFont="1" applyNumberFormat="1"/>
    <xf borderId="6" fillId="0" fontId="19" numFmtId="0" xfId="0" applyAlignment="1" applyBorder="1" applyFont="1">
      <alignment horizontal="left"/>
    </xf>
    <xf borderId="6" fillId="0" fontId="28" numFmtId="166" xfId="0" applyBorder="1" applyFont="1" applyNumberFormat="1"/>
    <xf borderId="0" fillId="0" fontId="18" numFmtId="0" xfId="0" applyAlignment="1" applyFont="1">
      <alignment horizontal="left"/>
    </xf>
    <xf borderId="0" fillId="0" fontId="17" numFmtId="166" xfId="0" applyFont="1" applyNumberFormat="1"/>
    <xf borderId="16" fillId="10" fontId="20" numFmtId="0" xfId="0" applyAlignment="1" applyBorder="1" applyFill="1" applyFont="1">
      <alignment horizontal="left" shrinkToFit="0" wrapText="1"/>
    </xf>
    <xf borderId="0" fillId="0" fontId="20" numFmtId="0" xfId="0" applyAlignment="1" applyFont="1">
      <alignment shrinkToFit="0" wrapText="1"/>
    </xf>
    <xf borderId="0" fillId="0" fontId="20" numFmtId="0" xfId="0" applyAlignment="1" applyFont="1">
      <alignment horizontal="center"/>
    </xf>
    <xf borderId="0" fillId="0" fontId="20" numFmtId="0" xfId="0" applyFont="1"/>
    <xf borderId="0" fillId="0" fontId="18" numFmtId="0" xfId="0" applyAlignment="1" applyFont="1">
      <alignment shrinkToFit="0" wrapText="1"/>
    </xf>
    <xf borderId="0" fillId="0" fontId="12" numFmtId="10" xfId="0" applyFont="1" applyNumberFormat="1"/>
    <xf borderId="0" fillId="0" fontId="29" numFmtId="0" xfId="0" applyFont="1"/>
    <xf borderId="0" fillId="0" fontId="30" numFmtId="0" xfId="0" applyFont="1"/>
    <xf borderId="6" fillId="9" fontId="19" numFmtId="0" xfId="0" applyAlignment="1" applyBorder="1" applyFont="1">
      <alignment vertical="center"/>
    </xf>
    <xf borderId="6" fillId="9" fontId="19" numFmtId="0" xfId="0" applyAlignment="1" applyBorder="1" applyFont="1">
      <alignment horizontal="center" vertical="center"/>
    </xf>
    <xf borderId="6" fillId="9" fontId="18" numFmtId="166" xfId="0" applyAlignment="1" applyBorder="1" applyFont="1" applyNumberFormat="1">
      <alignment horizontal="center"/>
    </xf>
    <xf borderId="0" fillId="0" fontId="29" numFmtId="166" xfId="0" applyFont="1" applyNumberFormat="1"/>
    <xf borderId="6" fillId="0" fontId="28" numFmtId="0" xfId="0" applyAlignment="1" applyBorder="1" applyFont="1">
      <alignment vertical="center"/>
    </xf>
    <xf borderId="6" fillId="0" fontId="28" numFmtId="0" xfId="0" applyAlignment="1" applyBorder="1" applyFont="1">
      <alignment horizontal="center" vertical="center"/>
    </xf>
    <xf borderId="6" fillId="0" fontId="28" numFmtId="0" xfId="0" applyBorder="1" applyFont="1"/>
    <xf borderId="6" fillId="0" fontId="17" numFmtId="0" xfId="0" applyBorder="1" applyFont="1"/>
    <xf borderId="0" fillId="0" fontId="24" numFmtId="166" xfId="0" applyFont="1" applyNumberFormat="1"/>
    <xf borderId="0" fillId="0" fontId="24" numFmtId="38" xfId="0" applyAlignment="1" applyFont="1" applyNumberFormat="1">
      <alignment horizontal="left"/>
    </xf>
    <xf borderId="0" fillId="0" fontId="24" numFmtId="0" xfId="0" applyFont="1"/>
    <xf borderId="6" fillId="0" fontId="12" numFmtId="0" xfId="0" applyBorder="1" applyFont="1"/>
    <xf borderId="6" fillId="0" fontId="17" numFmtId="168" xfId="0" applyAlignment="1" applyBorder="1" applyFont="1" applyNumberFormat="1">
      <alignment vertical="center"/>
    </xf>
    <xf borderId="0" fillId="0" fontId="24" numFmtId="169" xfId="0" applyAlignment="1" applyFont="1" applyNumberFormat="1">
      <alignment vertical="center"/>
    </xf>
    <xf borderId="6" fillId="0" fontId="20" numFmtId="0" xfId="0" applyBorder="1" applyFont="1"/>
    <xf borderId="6" fillId="0" fontId="28" numFmtId="168" xfId="0" applyAlignment="1" applyBorder="1" applyFont="1" applyNumberFormat="1">
      <alignment vertical="center"/>
    </xf>
    <xf borderId="17" fillId="0" fontId="31" numFmtId="0" xfId="0" applyBorder="1" applyFont="1"/>
    <xf borderId="17" fillId="0" fontId="24" numFmtId="0" xfId="0" applyBorder="1" applyFont="1"/>
    <xf borderId="16" fillId="6" fontId="24" numFmtId="9" xfId="0" applyBorder="1" applyFont="1" applyNumberFormat="1"/>
    <xf borderId="0" fillId="0" fontId="24" numFmtId="0" xfId="0" applyAlignment="1" applyFont="1">
      <alignment horizontal="center" shrinkToFit="0" vertical="center" wrapText="1"/>
    </xf>
    <xf borderId="6" fillId="9" fontId="6" numFmtId="0" xfId="0" applyBorder="1" applyFont="1"/>
    <xf borderId="6" fillId="0" fontId="1" numFmtId="0" xfId="0" applyAlignment="1" applyBorder="1" applyFont="1">
      <alignment horizontal="center"/>
    </xf>
    <xf borderId="18" fillId="9" fontId="21" numFmtId="0" xfId="0" applyAlignment="1" applyBorder="1" applyFont="1">
      <alignment vertical="center"/>
    </xf>
    <xf borderId="19" fillId="9" fontId="21" numFmtId="0" xfId="0" applyAlignment="1" applyBorder="1" applyFont="1">
      <alignment vertical="center"/>
    </xf>
    <xf borderId="6" fillId="0" fontId="1" numFmtId="164" xfId="0" applyBorder="1" applyFont="1" applyNumberFormat="1"/>
    <xf borderId="6" fillId="0" fontId="1" numFmtId="10" xfId="0" applyAlignment="1" applyBorder="1" applyFont="1" applyNumberFormat="1">
      <alignment horizontal="center" vertical="center"/>
    </xf>
    <xf borderId="20" fillId="0" fontId="22" numFmtId="0" xfId="0" applyAlignment="1" applyBorder="1" applyFont="1">
      <alignment vertical="center"/>
    </xf>
    <xf borderId="21" fillId="0" fontId="22" numFmtId="0" xfId="0" applyAlignment="1" applyBorder="1" applyFont="1">
      <alignment vertical="center"/>
    </xf>
    <xf borderId="21" fillId="0" fontId="15" numFmtId="0" xfId="0" applyAlignment="1" applyBorder="1" applyFont="1">
      <alignment vertical="center"/>
    </xf>
    <xf borderId="2" fillId="0" fontId="1" numFmtId="0" xfId="0" applyAlignment="1" applyBorder="1" applyFont="1">
      <alignment horizontal="center"/>
    </xf>
    <xf borderId="6" fillId="0" fontId="1" numFmtId="10" xfId="0" applyAlignment="1" applyBorder="1" applyFont="1" applyNumberFormat="1">
      <alignment vertical="center"/>
    </xf>
    <xf borderId="20" fillId="0" fontId="15" numFmtId="0" xfId="0" applyAlignment="1" applyBorder="1" applyFont="1">
      <alignment horizontal="right" vertical="center"/>
    </xf>
    <xf borderId="21" fillId="0" fontId="15" numFmtId="0" xfId="0" applyAlignment="1" applyBorder="1" applyFont="1">
      <alignment horizontal="center" vertical="center"/>
    </xf>
    <xf borderId="6" fillId="0" fontId="1" numFmtId="10" xfId="0" applyBorder="1" applyFont="1" applyNumberFormat="1"/>
    <xf borderId="20" fillId="0" fontId="22" numFmtId="0" xfId="0" applyAlignment="1" applyBorder="1" applyFont="1">
      <alignment horizontal="right" vertical="center"/>
    </xf>
    <xf borderId="20" fillId="0" fontId="22" numFmtId="0" xfId="0" applyAlignment="1" applyBorder="1" applyFont="1">
      <alignment horizontal="left" vertical="center"/>
    </xf>
    <xf borderId="8" fillId="0" fontId="1" numFmtId="10" xfId="0" applyAlignment="1" applyBorder="1" applyFont="1" applyNumberFormat="1">
      <alignment horizontal="center" vertical="center"/>
    </xf>
    <xf borderId="20" fillId="0" fontId="15" numFmtId="0" xfId="0" applyAlignment="1" applyBorder="1" applyFont="1">
      <alignment horizontal="left" vertical="center"/>
    </xf>
    <xf borderId="21" fillId="0" fontId="32" numFmtId="0" xfId="0" applyBorder="1" applyFont="1"/>
    <xf borderId="6" fillId="0" fontId="1" numFmtId="9" xfId="0" applyAlignment="1" applyBorder="1" applyFont="1" applyNumberFormat="1">
      <alignment horizontal="center"/>
    </xf>
    <xf borderId="0" fillId="0" fontId="3" numFmtId="164" xfId="0" applyFont="1" applyNumberFormat="1"/>
    <xf borderId="21" fillId="0" fontId="32" numFmtId="0" xfId="0" applyAlignment="1" applyBorder="1" applyFont="1">
      <alignment horizontal="center"/>
    </xf>
    <xf borderId="12" fillId="0" fontId="3" numFmtId="0" xfId="0" applyBorder="1" applyFont="1"/>
    <xf borderId="0" fillId="0" fontId="18" numFmtId="164" xfId="0" applyFont="1" applyNumberFormat="1"/>
    <xf borderId="16" fillId="6" fontId="18" numFmtId="9" xfId="0" applyBorder="1" applyFont="1" applyNumberFormat="1"/>
    <xf borderId="16" fillId="6" fontId="18" numFmtId="0" xfId="0" applyBorder="1" applyFont="1"/>
    <xf borderId="0" fillId="0" fontId="18" numFmtId="170" xfId="0" applyFont="1" applyNumberFormat="1"/>
    <xf borderId="0" fillId="0" fontId="18" numFmtId="169" xfId="0" applyFont="1" applyNumberFormat="1"/>
    <xf borderId="6" fillId="8" fontId="19" numFmtId="0" xfId="0" applyAlignment="1" applyBorder="1" applyFont="1">
      <alignment horizontal="right"/>
    </xf>
    <xf borderId="6" fillId="8" fontId="19" numFmtId="2" xfId="0" applyAlignment="1" applyBorder="1" applyFont="1" applyNumberFormat="1">
      <alignment horizontal="right"/>
    </xf>
    <xf borderId="0" fillId="0" fontId="1" numFmtId="2" xfId="0" applyFont="1" applyNumberFormat="1"/>
    <xf borderId="0" fillId="0" fontId="18" numFmtId="2" xfId="0" applyFont="1" applyNumberFormat="1"/>
    <xf borderId="0" fillId="0" fontId="6" numFmtId="0" xfId="0" applyAlignment="1" applyFont="1">
      <alignment horizontal="center" shrinkToFit="0" wrapText="1"/>
    </xf>
    <xf borderId="0" fillId="0" fontId="8" numFmtId="0" xfId="0" applyFont="1"/>
    <xf borderId="6" fillId="9" fontId="19" numFmtId="0" xfId="0" applyBorder="1" applyFont="1"/>
    <xf borderId="6" fillId="9" fontId="19" numFmtId="0" xfId="0" applyAlignment="1" applyBorder="1" applyFont="1">
      <alignment horizontal="center"/>
    </xf>
    <xf borderId="16" fillId="5" fontId="17" numFmtId="0" xfId="0" applyBorder="1" applyFont="1"/>
    <xf borderId="13" fillId="5" fontId="28" numFmtId="0" xfId="0" applyAlignment="1" applyBorder="1" applyFont="1">
      <alignment horizontal="center"/>
    </xf>
    <xf borderId="6" fillId="0" fontId="18" numFmtId="9" xfId="0" applyBorder="1" applyFont="1" applyNumberFormat="1"/>
    <xf borderId="22" fillId="5" fontId="28" numFmtId="0" xfId="0" applyAlignment="1" applyBorder="1" applyFont="1">
      <alignment horizontal="center"/>
    </xf>
    <xf borderId="23" fillId="0" fontId="3" numFmtId="0" xfId="0" applyBorder="1" applyFont="1"/>
    <xf borderId="24" fillId="0" fontId="3" numFmtId="0" xfId="0" applyBorder="1" applyFont="1"/>
    <xf borderId="6" fillId="5" fontId="28" numFmtId="0" xfId="0" applyBorder="1" applyFont="1"/>
    <xf borderId="6" fillId="9" fontId="28" numFmtId="0" xfId="0" applyBorder="1" applyFont="1"/>
    <xf borderId="6" fillId="5" fontId="17" numFmtId="0" xfId="0" applyBorder="1" applyFont="1"/>
    <xf borderId="6" fillId="5" fontId="17" numFmtId="164" xfId="0" applyBorder="1" applyFont="1" applyNumberFormat="1"/>
    <xf borderId="6" fillId="5" fontId="17" numFmtId="2" xfId="0" applyBorder="1" applyFont="1" applyNumberFormat="1"/>
    <xf borderId="6" fillId="5" fontId="17" numFmtId="171" xfId="0" applyBorder="1" applyFont="1" applyNumberFormat="1"/>
    <xf borderId="6" fillId="6" fontId="18" numFmtId="9" xfId="0" applyBorder="1" applyFont="1" applyNumberFormat="1"/>
    <xf borderId="6" fillId="5" fontId="28" numFmtId="2" xfId="0" applyBorder="1" applyFont="1" applyNumberFormat="1"/>
    <xf borderId="6" fillId="5" fontId="18" numFmtId="9" xfId="0" applyBorder="1" applyFont="1" applyNumberFormat="1"/>
    <xf borderId="0" fillId="0" fontId="23" numFmtId="0" xfId="0" applyAlignment="1" applyFont="1">
      <alignment horizontal="center" shrinkToFit="0" wrapText="1"/>
    </xf>
    <xf borderId="0" fillId="0" fontId="33" numFmtId="0" xfId="0" applyFont="1"/>
    <xf borderId="0" fillId="0" fontId="1" numFmtId="0" xfId="0" applyAlignment="1" applyFont="1">
      <alignment shrinkToFit="0" wrapText="1"/>
    </xf>
    <xf borderId="8" fillId="8" fontId="16" numFmtId="0" xfId="0" applyAlignment="1" applyBorder="1" applyFont="1">
      <alignment horizontal="center" shrinkToFit="0" vertical="center" wrapText="1"/>
    </xf>
    <xf borderId="25" fillId="8" fontId="16" numFmtId="0" xfId="0" applyAlignment="1" applyBorder="1" applyFont="1">
      <alignment horizontal="center" shrinkToFit="0" vertical="center" wrapText="1"/>
    </xf>
    <xf borderId="26" fillId="8" fontId="16" numFmtId="0" xfId="0" applyAlignment="1" applyBorder="1" applyFont="1">
      <alignment horizontal="center" shrinkToFit="0" vertical="center" wrapText="1"/>
    </xf>
    <xf borderId="6" fillId="0" fontId="28" numFmtId="0" xfId="0" applyAlignment="1" applyBorder="1" applyFont="1">
      <alignment horizontal="center" shrinkToFit="0" vertical="center" wrapText="1"/>
    </xf>
    <xf borderId="6" fillId="0" fontId="28" numFmtId="0" xfId="0" applyAlignment="1" applyBorder="1" applyFont="1">
      <alignment horizontal="left" shrinkToFit="0" vertical="center" wrapText="1"/>
    </xf>
    <xf borderId="6" fillId="0" fontId="17" numFmtId="164" xfId="0" applyAlignment="1" applyBorder="1" applyFont="1" applyNumberFormat="1">
      <alignment horizontal="center" shrinkToFit="0" vertical="center" wrapText="1"/>
    </xf>
    <xf borderId="6" fillId="0" fontId="12" numFmtId="164" xfId="0" applyAlignment="1" applyBorder="1" applyFont="1" applyNumberFormat="1">
      <alignment horizontal="right" shrinkToFit="0" vertical="center" wrapText="1"/>
    </xf>
    <xf borderId="5" fillId="5" fontId="20" numFmtId="0" xfId="0" applyAlignment="1" applyBorder="1" applyFont="1">
      <alignment horizontal="center" shrinkToFit="0" vertical="center" wrapText="1"/>
    </xf>
    <xf borderId="6" fillId="6" fontId="20" numFmtId="9" xfId="0" applyAlignment="1" applyBorder="1" applyFont="1" applyNumberFormat="1">
      <alignment horizontal="center" shrinkToFit="0" vertical="center" wrapText="1"/>
    </xf>
    <xf borderId="0" fillId="0" fontId="34" numFmtId="0" xfId="0" applyAlignment="1" applyFont="1">
      <alignment horizontal="center" shrinkToFit="0" wrapText="1"/>
    </xf>
    <xf borderId="0" fillId="0" fontId="1" numFmtId="9" xfId="0" applyFont="1" applyNumberFormat="1"/>
    <xf borderId="0" fillId="0" fontId="35" numFmtId="0" xfId="0" applyAlignment="1" applyFont="1">
      <alignment horizontal="center" shrinkToFit="0" wrapText="1"/>
    </xf>
    <xf borderId="0" fillId="0" fontId="36" numFmtId="0" xfId="0" applyFont="1"/>
    <xf borderId="0" fillId="0" fontId="29" numFmtId="0" xfId="0" applyAlignment="1" applyFont="1">
      <alignment vertical="center"/>
    </xf>
    <xf borderId="27" fillId="0" fontId="8" numFmtId="0" xfId="0" applyAlignment="1" applyBorder="1" applyFont="1">
      <alignment horizontal="center"/>
    </xf>
    <xf borderId="0" fillId="0" fontId="37" numFmtId="0" xfId="0" applyAlignment="1" applyFont="1">
      <alignment vertical="center"/>
    </xf>
    <xf borderId="0" fillId="0" fontId="24" numFmtId="0" xfId="0" applyAlignment="1" applyFont="1">
      <alignment vertical="center"/>
    </xf>
    <xf borderId="28" fillId="8" fontId="19" numFmtId="0" xfId="0" applyAlignment="1" applyBorder="1" applyFont="1">
      <alignment vertical="center"/>
    </xf>
    <xf borderId="29" fillId="8" fontId="19" numFmtId="0" xfId="0" applyAlignment="1" applyBorder="1" applyFont="1">
      <alignment horizontal="center"/>
    </xf>
    <xf borderId="30" fillId="0" fontId="17" numFmtId="0" xfId="0" applyAlignment="1" applyBorder="1" applyFont="1">
      <alignment vertical="center"/>
    </xf>
    <xf borderId="6" fillId="0" fontId="28" numFmtId="37" xfId="0" applyAlignment="1" applyBorder="1" applyFont="1" applyNumberFormat="1">
      <alignment vertical="center"/>
    </xf>
    <xf borderId="6" fillId="0" fontId="38" numFmtId="3" xfId="0" applyAlignment="1" applyBorder="1" applyFont="1" applyNumberFormat="1">
      <alignment horizontal="right" vertical="center"/>
    </xf>
    <xf borderId="30" fillId="0" fontId="39" numFmtId="0" xfId="0" applyAlignment="1" applyBorder="1" applyFont="1">
      <alignment vertical="center"/>
    </xf>
    <xf borderId="6" fillId="0" fontId="17" numFmtId="4" xfId="0" applyAlignment="1" applyBorder="1" applyFont="1" applyNumberFormat="1">
      <alignment vertical="center"/>
    </xf>
    <xf borderId="30" fillId="0" fontId="28" numFmtId="0" xfId="0" applyAlignment="1" applyBorder="1" applyFont="1">
      <alignment horizontal="left" vertical="center"/>
    </xf>
    <xf borderId="6" fillId="0" fontId="40" numFmtId="4" xfId="0" applyAlignment="1" applyBorder="1" applyFont="1" applyNumberFormat="1">
      <alignment vertical="center"/>
    </xf>
    <xf borderId="6" fillId="0" fontId="28" numFmtId="3" xfId="0" applyAlignment="1" applyBorder="1" applyFont="1" applyNumberFormat="1">
      <alignment vertical="center"/>
    </xf>
    <xf borderId="0" fillId="0" fontId="29" numFmtId="3" xfId="0" applyAlignment="1" applyFont="1" applyNumberFormat="1">
      <alignment vertical="center"/>
    </xf>
    <xf borderId="30" fillId="0" fontId="17" numFmtId="0" xfId="0" applyAlignment="1" applyBorder="1" applyFont="1">
      <alignment horizontal="left" vertical="center"/>
    </xf>
    <xf borderId="6" fillId="0" fontId="17" numFmtId="3" xfId="0" applyAlignment="1" applyBorder="1" applyFont="1" applyNumberFormat="1">
      <alignment vertical="center"/>
    </xf>
    <xf borderId="30" fillId="0" fontId="28" numFmtId="0" xfId="0" applyAlignment="1" applyBorder="1" applyFont="1">
      <alignment vertical="center"/>
    </xf>
    <xf borderId="6" fillId="0" fontId="40" numFmtId="3" xfId="0" applyAlignment="1" applyBorder="1" applyFont="1" applyNumberFormat="1">
      <alignment vertical="center"/>
    </xf>
    <xf borderId="6" fillId="0" fontId="38" numFmtId="3" xfId="0" applyAlignment="1" applyBorder="1" applyFont="1" applyNumberFormat="1">
      <alignment vertical="center"/>
    </xf>
    <xf borderId="30" fillId="0" fontId="20" numFmtId="0" xfId="0" applyAlignment="1" applyBorder="1" applyFont="1">
      <alignment vertical="center"/>
    </xf>
    <xf borderId="6" fillId="0" fontId="20" numFmtId="3" xfId="0" applyAlignment="1" applyBorder="1" applyFont="1" applyNumberFormat="1">
      <alignment vertical="center"/>
    </xf>
    <xf borderId="30" fillId="0" fontId="41" numFmtId="0" xfId="0" applyAlignment="1" applyBorder="1" applyFont="1">
      <alignment vertical="center"/>
    </xf>
    <xf borderId="6" fillId="0" fontId="42" numFmtId="4" xfId="0" applyAlignment="1" applyBorder="1" applyFont="1" applyNumberFormat="1">
      <alignment vertical="center"/>
    </xf>
    <xf borderId="30" fillId="0" fontId="43" numFmtId="0" xfId="0" applyAlignment="1" applyBorder="1" applyFont="1">
      <alignment vertical="center"/>
    </xf>
    <xf borderId="6" fillId="0" fontId="43" numFmtId="4" xfId="0" applyAlignment="1" applyBorder="1" applyFont="1" applyNumberFormat="1">
      <alignment vertical="center"/>
    </xf>
    <xf borderId="31" fillId="0" fontId="43" numFmtId="0" xfId="0" applyAlignment="1" applyBorder="1" applyFont="1">
      <alignment vertical="center"/>
    </xf>
    <xf borderId="32" fillId="0" fontId="43" numFmtId="4" xfId="0" applyAlignment="1" applyBorder="1" applyFont="1" applyNumberFormat="1">
      <alignment vertical="center"/>
    </xf>
    <xf borderId="0" fillId="0" fontId="29" numFmtId="4" xfId="0" applyAlignment="1" applyFont="1" applyNumberFormat="1">
      <alignment vertical="center"/>
    </xf>
    <xf borderId="0" fillId="0" fontId="44" numFmtId="0" xfId="0" applyAlignment="1" applyFont="1">
      <alignment horizontal="center" shrinkToFit="0" wrapText="1"/>
    </xf>
    <xf borderId="6" fillId="8" fontId="19" numFmtId="0" xfId="0" applyAlignment="1" applyBorder="1" applyFont="1">
      <alignment shrinkToFit="0" wrapText="1"/>
    </xf>
    <xf borderId="6" fillId="0" fontId="20" numFmtId="0" xfId="0" applyAlignment="1" applyBorder="1" applyFont="1">
      <alignment shrinkToFit="0" wrapText="1"/>
    </xf>
    <xf borderId="6" fillId="0" fontId="12" numFmtId="164" xfId="0" applyAlignment="1" applyBorder="1" applyFont="1" applyNumberFormat="1">
      <alignment shrinkToFit="0" wrapText="1"/>
    </xf>
    <xf borderId="6" fillId="0" fontId="12" numFmtId="0" xfId="0" applyAlignment="1" applyBorder="1" applyFont="1">
      <alignment horizontal="left" shrinkToFit="0" wrapText="1"/>
    </xf>
    <xf borderId="6" fillId="0" fontId="20" numFmtId="164" xfId="0" applyAlignment="1" applyBorder="1" applyFont="1" applyNumberFormat="1">
      <alignment shrinkToFit="0" wrapText="1"/>
    </xf>
    <xf borderId="2" fillId="0" fontId="20" numFmtId="0" xfId="0" applyAlignment="1" applyBorder="1" applyFont="1">
      <alignment horizontal="center" shrinkToFit="0" wrapText="1"/>
    </xf>
    <xf borderId="6" fillId="0" fontId="12" numFmtId="0" xfId="0" applyAlignment="1" applyBorder="1" applyFont="1">
      <alignment shrinkToFit="0" wrapText="1"/>
    </xf>
    <xf borderId="6" fillId="0" fontId="12" numFmtId="0" xfId="0" applyAlignment="1" applyBorder="1" applyFont="1">
      <alignment horizontal="right" shrinkToFit="0" wrapText="1"/>
    </xf>
    <xf borderId="6" fillId="0" fontId="12" numFmtId="166" xfId="0" applyAlignment="1" applyBorder="1" applyFont="1" applyNumberFormat="1">
      <alignment shrinkToFit="0" wrapText="1"/>
    </xf>
    <xf borderId="6" fillId="0" fontId="20" numFmtId="0" xfId="0" applyAlignment="1" applyBorder="1" applyFont="1">
      <alignment horizontal="right" shrinkToFit="0" wrapText="1"/>
    </xf>
    <xf borderId="6" fillId="0" fontId="12" numFmtId="164" xfId="0" applyAlignment="1" applyBorder="1" applyFont="1" applyNumberFormat="1">
      <alignment shrinkToFit="0" wrapText="1"/>
    </xf>
    <xf borderId="6" fillId="0" fontId="20" numFmtId="0" xfId="0" applyAlignment="1" applyBorder="1" applyFont="1">
      <alignment horizontal="left" shrinkToFit="0" wrapText="1"/>
    </xf>
    <xf borderId="0" fillId="0" fontId="22" numFmtId="0" xfId="0" applyAlignment="1" applyFont="1">
      <alignment horizontal="center" shrinkToFit="0" wrapText="1"/>
    </xf>
    <xf borderId="0" fillId="0" fontId="45" numFmtId="0" xfId="0" applyAlignment="1" applyFont="1">
      <alignment horizontal="center"/>
    </xf>
    <xf borderId="0" fillId="0" fontId="46" numFmtId="0" xfId="0" applyFont="1"/>
    <xf borderId="6" fillId="9" fontId="18" numFmtId="0" xfId="0" applyAlignment="1" applyBorder="1" applyFont="1">
      <alignment horizontal="left"/>
    </xf>
    <xf borderId="6" fillId="9" fontId="47" numFmtId="0" xfId="0" applyAlignment="1" applyBorder="1" applyFont="1">
      <alignment horizontal="center"/>
    </xf>
    <xf borderId="6" fillId="0" fontId="12" numFmtId="4" xfId="0" applyBorder="1" applyFont="1" applyNumberFormat="1"/>
    <xf borderId="6" fillId="0" fontId="12" numFmtId="172" xfId="0" applyBorder="1" applyFont="1" applyNumberFormat="1"/>
    <xf borderId="6" fillId="0" fontId="12" numFmtId="10" xfId="0" applyBorder="1" applyFont="1" applyNumberFormat="1"/>
    <xf quotePrefix="1" borderId="6" fillId="0" fontId="12" numFmtId="0" xfId="0" applyAlignment="1" applyBorder="1" applyFont="1">
      <alignment horizontal="left"/>
    </xf>
    <xf borderId="6" fillId="0" fontId="12" numFmtId="0" xfId="0" applyAlignment="1" applyBorder="1" applyFont="1">
      <alignment horizontal="left"/>
    </xf>
    <xf borderId="6" fillId="0" fontId="48" numFmtId="4" xfId="0" applyBorder="1" applyFont="1" applyNumberFormat="1"/>
    <xf borderId="6" fillId="0" fontId="1" numFmtId="4" xfId="0" applyBorder="1" applyFont="1" applyNumberFormat="1"/>
    <xf borderId="0" fillId="0" fontId="1" numFmtId="4" xfId="0" applyFont="1" applyNumberFormat="1"/>
    <xf borderId="0" fillId="0" fontId="1" numFmtId="10" xfId="0" applyFont="1" applyNumberFormat="1"/>
    <xf borderId="2" fillId="0" fontId="12" numFmtId="4" xfId="0" applyAlignment="1" applyBorder="1" applyFont="1" applyNumberFormat="1">
      <alignment horizontal="center"/>
    </xf>
    <xf borderId="0" fillId="0" fontId="12" numFmtId="0" xfId="0" applyFont="1"/>
    <xf borderId="0" fillId="0" fontId="12" numFmtId="4" xfId="0" applyAlignment="1" applyFont="1" applyNumberFormat="1">
      <alignment horizontal="center"/>
    </xf>
    <xf borderId="0" fillId="0" fontId="49" numFmtId="0" xfId="0" applyAlignment="1" applyFont="1">
      <alignment horizontal="center" shrinkToFit="0" wrapText="1"/>
    </xf>
    <xf borderId="6" fillId="9" fontId="18" numFmtId="0" xfId="0" applyBorder="1" applyFont="1"/>
    <xf borderId="6" fillId="9" fontId="18" numFmtId="0" xfId="0" applyAlignment="1" applyBorder="1" applyFont="1">
      <alignment horizontal="center"/>
    </xf>
    <xf borderId="6" fillId="0" fontId="18" numFmtId="2" xfId="0" applyBorder="1" applyFont="1" applyNumberFormat="1"/>
    <xf borderId="0" fillId="0" fontId="19" numFmtId="0" xfId="0" applyFont="1"/>
    <xf borderId="0" fillId="0" fontId="19" numFmtId="10" xfId="0" applyFont="1" applyNumberFormat="1"/>
    <xf borderId="0" fillId="0" fontId="50" numFmtId="0" xfId="0" applyAlignment="1" applyFont="1">
      <alignment horizontal="center" shrinkToFit="0" wrapText="1"/>
    </xf>
    <xf borderId="6" fillId="0" fontId="18" numFmtId="3" xfId="0" applyBorder="1" applyFont="1" applyNumberFormat="1"/>
    <xf borderId="6" fillId="0" fontId="18" numFmtId="0" xfId="0" applyAlignment="1" applyBorder="1" applyFont="1">
      <alignment shrinkToFit="0" wrapText="1"/>
    </xf>
    <xf borderId="6" fillId="0" fontId="48" numFmtId="0" xfId="0" applyBorder="1" applyFont="1"/>
    <xf borderId="0" fillId="0" fontId="48" numFmtId="0" xfId="0" applyFont="1"/>
    <xf borderId="0" fillId="0" fontId="18" numFmtId="173" xfId="0" applyFont="1" applyNumberFormat="1"/>
    <xf borderId="6" fillId="9" fontId="51" numFmtId="0" xfId="0" applyAlignment="1" applyBorder="1" applyFont="1">
      <alignment horizontal="center"/>
    </xf>
    <xf borderId="6" fillId="0" fontId="52" numFmtId="0" xfId="0" applyAlignment="1" applyBorder="1" applyFont="1">
      <alignment horizontal="center"/>
    </xf>
    <xf borderId="6" fillId="0" fontId="53" numFmtId="0" xfId="0" applyAlignment="1" applyBorder="1" applyFont="1">
      <alignment horizontal="center"/>
    </xf>
    <xf borderId="2" fillId="0" fontId="18" numFmtId="2" xfId="0" applyAlignment="1" applyBorder="1" applyFont="1" applyNumberFormat="1">
      <alignment horizontal="center"/>
    </xf>
    <xf borderId="6" fillId="0" fontId="19" numFmtId="0" xfId="0" applyAlignment="1" applyBorder="1" applyFont="1">
      <alignment horizontal="center" vertical="center"/>
    </xf>
    <xf borderId="2" fillId="0" fontId="19" numFmtId="10" xfId="0" applyAlignment="1" applyBorder="1" applyFont="1" applyNumberFormat="1">
      <alignment horizontal="center"/>
    </xf>
    <xf borderId="0" fillId="0" fontId="23" numFmtId="0" xfId="0" applyAlignment="1" applyFont="1">
      <alignment horizontal="center"/>
    </xf>
    <xf borderId="6" fillId="0" fontId="12" numFmtId="0" xfId="0" applyAlignment="1" applyBorder="1" applyFont="1">
      <alignment horizontal="center"/>
    </xf>
    <xf borderId="6" fillId="0" fontId="17" numFmtId="0" xfId="0" applyAlignment="1" applyBorder="1" applyFont="1">
      <alignment horizontal="center"/>
    </xf>
    <xf borderId="6" fillId="0" fontId="12" numFmtId="164" xfId="0" applyAlignment="1" applyBorder="1" applyFont="1" applyNumberFormat="1">
      <alignment horizontal="center"/>
    </xf>
    <xf borderId="6" fillId="0" fontId="1" numFmtId="0" xfId="0" applyAlignment="1" applyBorder="1" applyFont="1">
      <alignment horizontal="center" vertical="center"/>
    </xf>
    <xf borderId="6" fillId="0" fontId="6" numFmtId="164" xfId="0" applyBorder="1" applyFont="1" applyNumberFormat="1"/>
    <xf borderId="0" fillId="0" fontId="6" numFmtId="2" xfId="0" applyFont="1" applyNumberFormat="1"/>
    <xf borderId="6" fillId="0" fontId="19" numFmtId="2" xfId="0" applyBorder="1" applyFont="1" applyNumberFormat="1"/>
    <xf borderId="33" fillId="0" fontId="45" numFmtId="0" xfId="0" applyAlignment="1" applyBorder="1" applyFont="1">
      <alignment horizontal="center"/>
    </xf>
    <xf borderId="0" fillId="0" fontId="54" numFmtId="0" xfId="0" applyAlignment="1" applyFont="1">
      <alignment horizontal="center"/>
    </xf>
    <xf borderId="6" fillId="0" fontId="12" numFmtId="164" xfId="0" applyBorder="1" applyFont="1" applyNumberFormat="1"/>
    <xf borderId="16" fillId="6" fontId="6" numFmtId="9" xfId="0" applyBorder="1" applyFont="1" applyNumberFormat="1"/>
    <xf borderId="6" fillId="0" fontId="20" numFmtId="164" xfId="0" applyBorder="1" applyFont="1" applyNumberFormat="1"/>
    <xf borderId="0" fillId="0" fontId="12" numFmtId="174" xfId="0" applyFont="1" applyNumberFormat="1"/>
    <xf borderId="6" fillId="0" fontId="12" numFmtId="174" xfId="0" applyBorder="1" applyFont="1" applyNumberFormat="1"/>
    <xf borderId="6" fillId="0" fontId="12" numFmtId="175" xfId="0" applyBorder="1" applyFont="1" applyNumberFormat="1"/>
    <xf borderId="6" fillId="0" fontId="20" numFmtId="174" xfId="0" applyBorder="1" applyFont="1" applyNumberFormat="1"/>
    <xf borderId="0" fillId="0" fontId="55" numFmtId="0" xfId="0" applyAlignment="1" applyFont="1">
      <alignment horizontal="center" shrinkToFit="0" wrapText="1"/>
    </xf>
    <xf borderId="0" fillId="0" fontId="55" numFmtId="0" xfId="0" applyFont="1"/>
    <xf borderId="1" fillId="0" fontId="8" numFmtId="0" xfId="0" applyAlignment="1" applyBorder="1" applyFont="1">
      <alignment horizontal="center"/>
    </xf>
    <xf borderId="6" fillId="9" fontId="6" numFmtId="0" xfId="0" applyAlignment="1" applyBorder="1" applyFont="1">
      <alignment horizontal="center"/>
    </xf>
    <xf borderId="0" fillId="0" fontId="6" numFmtId="0" xfId="0" applyAlignment="1" applyFont="1">
      <alignment horizontal="center"/>
    </xf>
    <xf borderId="6" fillId="5" fontId="1" numFmtId="0" xfId="0" applyBorder="1" applyFont="1"/>
    <xf borderId="0" fillId="0" fontId="1" numFmtId="1" xfId="0" applyFont="1" applyNumberFormat="1"/>
    <xf borderId="6" fillId="0" fontId="6" numFmtId="0" xfId="0" applyBorder="1" applyFont="1"/>
    <xf borderId="0" fillId="0" fontId="6" numFmtId="164" xfId="0" applyFont="1" applyNumberFormat="1"/>
    <xf borderId="6" fillId="5" fontId="6" numFmtId="0" xfId="0" applyBorder="1" applyFont="1"/>
    <xf borderId="0" fillId="0" fontId="1" numFmtId="176" xfId="0" applyFont="1" applyNumberFormat="1"/>
    <xf borderId="6" fillId="9" fontId="6" numFmtId="0" xfId="0" applyAlignment="1" applyBorder="1" applyFont="1">
      <alignment shrinkToFit="0" wrapText="1"/>
    </xf>
    <xf borderId="17" fillId="0" fontId="6" numFmtId="0" xfId="0" applyAlignment="1" applyBorder="1" applyFont="1">
      <alignment shrinkToFit="0" wrapText="1"/>
    </xf>
    <xf borderId="8" fillId="0" fontId="1" numFmtId="0" xfId="0" applyAlignment="1" applyBorder="1" applyFont="1">
      <alignment horizontal="center" vertical="center"/>
    </xf>
    <xf borderId="6" fillId="5" fontId="1" numFmtId="9" xfId="0" applyBorder="1" applyFont="1" applyNumberFormat="1"/>
    <xf borderId="6" fillId="6" fontId="1" numFmtId="0" xfId="0" applyBorder="1" applyFont="1"/>
    <xf borderId="6" fillId="6" fontId="1" numFmtId="9" xfId="0" applyBorder="1" applyFont="1" applyNumberFormat="1"/>
    <xf borderId="9" fillId="0" fontId="1" numFmtId="0" xfId="0" applyAlignment="1" applyBorder="1" applyFont="1">
      <alignment horizontal="center" vertical="center"/>
    </xf>
    <xf borderId="8" fillId="0" fontId="1" numFmtId="0" xfId="0" applyAlignment="1" applyBorder="1" applyFont="1">
      <alignment shrinkToFit="0" vertical="center" wrapText="1"/>
    </xf>
    <xf borderId="9" fillId="0" fontId="1" numFmtId="0" xfId="0" applyAlignment="1" applyBorder="1" applyFont="1">
      <alignment shrinkToFit="0" vertical="center" wrapText="1"/>
    </xf>
    <xf borderId="2" fillId="0" fontId="8" numFmtId="0" xfId="0" applyAlignment="1" applyBorder="1" applyFont="1">
      <alignment horizontal="center"/>
    </xf>
    <xf borderId="8" fillId="9" fontId="6" numFmtId="0" xfId="0" applyAlignment="1" applyBorder="1" applyFont="1">
      <alignment vertical="center"/>
    </xf>
    <xf borderId="6" fillId="6" fontId="6" numFmtId="9" xfId="0" applyBorder="1" applyFont="1" applyNumberFormat="1"/>
    <xf borderId="7" fillId="0" fontId="1" numFmtId="0" xfId="0" applyBorder="1" applyFont="1"/>
    <xf borderId="2" fillId="0" fontId="25" numFmtId="0" xfId="0" applyAlignment="1" applyBorder="1" applyFont="1">
      <alignment horizontal="center"/>
    </xf>
    <xf borderId="8" fillId="9" fontId="6" numFmtId="0" xfId="0" applyAlignment="1" applyBorder="1" applyFont="1">
      <alignment horizontal="left" vertical="center"/>
    </xf>
    <xf borderId="6" fillId="6" fontId="6" numFmtId="9" xfId="0" applyAlignment="1" applyBorder="1" applyFont="1" applyNumberFormat="1">
      <alignment horizontal="center"/>
    </xf>
    <xf borderId="2" fillId="0" fontId="24" numFmtId="0" xfId="0" applyAlignment="1" applyBorder="1" applyFont="1">
      <alignment horizontal="center"/>
    </xf>
    <xf borderId="8" fillId="9" fontId="1" numFmtId="0" xfId="0" applyAlignment="1" applyBorder="1" applyFont="1">
      <alignment horizontal="left" vertical="center"/>
    </xf>
    <xf borderId="6" fillId="6" fontId="1" numFmtId="9" xfId="0" applyBorder="1" applyFont="1" applyNumberFormat="1"/>
    <xf borderId="6" fillId="6" fontId="1" numFmtId="176" xfId="0" applyBorder="1" applyFont="1" applyNumberFormat="1"/>
    <xf borderId="9" fillId="0" fontId="6" numFmtId="0" xfId="0" applyAlignment="1" applyBorder="1" applyFont="1">
      <alignment horizontal="center" vertical="center"/>
    </xf>
    <xf borderId="8" fillId="0" fontId="6" numFmtId="0" xfId="0" applyAlignment="1" applyBorder="1" applyFont="1">
      <alignment horizontal="center" shrinkToFit="0" vertical="center" wrapText="1"/>
    </xf>
    <xf borderId="16" fillId="5" fontId="18" numFmtId="0" xfId="0" applyBorder="1" applyFont="1"/>
    <xf borderId="6" fillId="0" fontId="1" numFmtId="9" xfId="0" applyBorder="1" applyFont="1" applyNumberFormat="1"/>
    <xf borderId="6" fillId="0" fontId="18" numFmtId="174" xfId="0" applyBorder="1" applyFont="1" applyNumberFormat="1"/>
    <xf borderId="6" fillId="0" fontId="19" numFmtId="166" xfId="0" applyBorder="1" applyFont="1" applyNumberFormat="1"/>
    <xf borderId="6" fillId="6" fontId="19" numFmtId="0" xfId="0" applyBorder="1" applyFont="1"/>
    <xf borderId="6" fillId="6" fontId="19" numFmtId="9" xfId="0" applyBorder="1" applyFont="1" applyNumberFormat="1"/>
    <xf borderId="6" fillId="6" fontId="19" numFmtId="166" xfId="0" applyBorder="1" applyFont="1" applyNumberFormat="1"/>
    <xf borderId="6" fillId="0" fontId="18" numFmtId="166" xfId="0" applyBorder="1" applyFont="1" applyNumberFormat="1"/>
    <xf borderId="6" fillId="0" fontId="18" numFmtId="165" xfId="0" applyBorder="1" applyFont="1" applyNumberFormat="1"/>
    <xf borderId="0" fillId="0" fontId="19" numFmtId="0" xfId="0" applyAlignment="1" applyFont="1">
      <alignment horizontal="center"/>
    </xf>
    <xf borderId="0" fillId="0" fontId="19" numFmtId="9" xfId="0" applyAlignment="1" applyFont="1" applyNumberFormat="1">
      <alignment horizontal="center"/>
    </xf>
    <xf borderId="0" fillId="0" fontId="19" numFmtId="10" xfId="0" applyAlignment="1" applyFont="1" applyNumberFormat="1">
      <alignment horizontal="center"/>
    </xf>
    <xf borderId="0" fillId="0" fontId="18" numFmtId="165" xfId="0" applyFont="1" applyNumberFormat="1"/>
    <xf borderId="0" fillId="0" fontId="18" numFmtId="1" xfId="0" applyFont="1" applyNumberFormat="1"/>
    <xf borderId="6" fillId="0" fontId="18" numFmtId="1" xfId="0" applyBorder="1" applyFont="1" applyNumberFormat="1"/>
    <xf borderId="6" fillId="6" fontId="18" numFmtId="0" xfId="0" applyBorder="1" applyFont="1"/>
    <xf borderId="6" fillId="5" fontId="19" numFmtId="164" xfId="0" applyBorder="1" applyFont="1" applyNumberFormat="1"/>
    <xf borderId="6" fillId="0" fontId="1" numFmtId="165" xfId="0" applyBorder="1" applyFont="1" applyNumberFormat="1"/>
    <xf borderId="6" fillId="0" fontId="19" numFmtId="0" xfId="0" applyAlignment="1" applyBorder="1" applyFont="1">
      <alignment shrinkToFit="0" wrapText="1"/>
    </xf>
    <xf borderId="16" fillId="5" fontId="18" numFmtId="167" xfId="0" applyBorder="1" applyFont="1" applyNumberFormat="1"/>
    <xf borderId="0" fillId="0" fontId="18" numFmtId="167" xfId="0" applyFont="1" applyNumberFormat="1"/>
    <xf borderId="6" fillId="0" fontId="18" numFmtId="175" xfId="0" applyBorder="1" applyFont="1" applyNumberFormat="1"/>
    <xf borderId="6" fillId="5" fontId="18" numFmtId="164" xfId="0" applyBorder="1" applyFont="1" applyNumberFormat="1"/>
    <xf borderId="6" fillId="5" fontId="18" numFmtId="10" xfId="0" applyBorder="1" applyFont="1" applyNumberFormat="1"/>
    <xf borderId="10" fillId="9" fontId="6" numFmtId="0" xfId="0" applyAlignment="1" applyBorder="1" applyFont="1">
      <alignment shrinkToFit="0" wrapText="1"/>
    </xf>
    <xf borderId="10" fillId="5" fontId="1" numFmtId="0" xfId="0" applyBorder="1" applyFont="1"/>
    <xf borderId="6" fillId="5" fontId="18" numFmtId="0" xfId="0" applyAlignment="1" applyBorder="1" applyFont="1">
      <alignment shrinkToFit="0" wrapText="1"/>
    </xf>
    <xf borderId="6" fillId="5" fontId="18" numFmtId="164" xfId="0" applyAlignment="1" applyBorder="1" applyFont="1" applyNumberFormat="1">
      <alignment shrinkToFit="0" wrapText="1"/>
    </xf>
    <xf borderId="0" fillId="0" fontId="19" numFmtId="164" xfId="0" applyFont="1" applyNumberFormat="1"/>
    <xf borderId="6" fillId="5" fontId="18" numFmtId="166" xfId="0" applyBorder="1" applyFont="1" applyNumberFormat="1"/>
    <xf borderId="0" fillId="0" fontId="18" numFmtId="166" xfId="0" applyFont="1" applyNumberFormat="1"/>
    <xf borderId="9" fillId="0" fontId="18" numFmtId="0" xfId="0" applyBorder="1" applyFont="1"/>
    <xf borderId="29" fillId="5" fontId="18" numFmtId="164" xfId="0" applyBorder="1" applyFont="1" applyNumberFormat="1"/>
    <xf borderId="9" fillId="0" fontId="18" numFmtId="164" xfId="0" applyBorder="1" applyFont="1" applyNumberFormat="1"/>
    <xf borderId="4" fillId="0" fontId="18" numFmtId="164" xfId="0" applyBorder="1" applyFont="1" applyNumberFormat="1"/>
    <xf borderId="6" fillId="0" fontId="19" numFmtId="164" xfId="0" applyAlignment="1" applyBorder="1" applyFont="1" applyNumberFormat="1">
      <alignment shrinkToFit="0" wrapText="1"/>
    </xf>
    <xf borderId="6" fillId="0" fontId="18" numFmtId="164" xfId="0" applyAlignment="1" applyBorder="1" applyFont="1" applyNumberFormat="1">
      <alignment horizontal="right"/>
    </xf>
    <xf borderId="6" fillId="0" fontId="28" numFmtId="168" xfId="0" applyAlignment="1" applyBorder="1" applyFont="1" applyNumberFormat="1">
      <alignment horizontal="right" vertical="center"/>
    </xf>
    <xf borderId="0" fillId="0" fontId="19" numFmtId="2" xfId="0" applyFont="1" applyNumberFormat="1"/>
    <xf borderId="6" fillId="8" fontId="6" numFmtId="0" xfId="0" applyBorder="1" applyFont="1"/>
    <xf borderId="6" fillId="8" fontId="6" numFmtId="0" xfId="0" applyAlignment="1" applyBorder="1" applyFont="1">
      <alignment horizontal="center"/>
    </xf>
    <xf borderId="6" fillId="8" fontId="6" numFmtId="10" xfId="0" applyBorder="1" applyFont="1" applyNumberFormat="1"/>
    <xf borderId="6" fillId="8" fontId="6" numFmtId="10" xfId="0" applyAlignment="1" applyBorder="1" applyFont="1" applyNumberFormat="1">
      <alignment horizontal="center"/>
    </xf>
    <xf borderId="6" fillId="0" fontId="6" numFmtId="9" xfId="0" applyBorder="1" applyFont="1" applyNumberFormat="1"/>
    <xf borderId="6" fillId="0" fontId="1" numFmtId="166" xfId="0" applyBorder="1" applyFont="1" applyNumberFormat="1"/>
  </cellXfs>
  <cellStyles count="1">
    <cellStyle xfId="0" name="Normal" builtinId="0"/>
  </cellStyles>
  <dxfs count="2">
    <dxf>
      <font>
        <color rgb="FF9C0006"/>
      </font>
      <fill>
        <patternFill patternType="solid">
          <fgColor rgb="FFFFC7CE"/>
          <bgColor rgb="FFFFC7CE"/>
        </patternFill>
      </fill>
      <border/>
    </dxf>
    <dxf>
      <font>
        <color rgb="FFFF0000"/>
      </font>
      <fill>
        <patternFill patternType="none"/>
      </fill>
      <border/>
    </dxf>
  </dxfs>
</styleSheet>
</file>

<file path=xl/_rels/workbook.xml.rels><?xml version="1.0" encoding="UTF-8" standalone="yes"?><Relationships xmlns="http://schemas.openxmlformats.org/package/2006/relationships"><Relationship Id="rId20" Type="http://schemas.openxmlformats.org/officeDocument/2006/relationships/worksheet" Target="worksheets/sheet17.xml"/><Relationship Id="rId22" Type="http://schemas.openxmlformats.org/officeDocument/2006/relationships/worksheet" Target="worksheets/sheet19.xml"/><Relationship Id="rId21" Type="http://schemas.openxmlformats.org/officeDocument/2006/relationships/worksheet" Target="worksheets/sheet18.xml"/><Relationship Id="rId24" Type="http://schemas.openxmlformats.org/officeDocument/2006/relationships/worksheet" Target="worksheets/sheet21.xml"/><Relationship Id="rId23" Type="http://schemas.openxmlformats.org/officeDocument/2006/relationships/worksheet" Target="worksheets/sheet20.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26" Type="http://schemas.openxmlformats.org/officeDocument/2006/relationships/worksheet" Target="worksheets/sheet23.xml"/><Relationship Id="rId25" Type="http://schemas.openxmlformats.org/officeDocument/2006/relationships/worksheet" Target="worksheets/sheet22.xml"/><Relationship Id="rId28" Type="http://schemas.openxmlformats.org/officeDocument/2006/relationships/externalLink" Target="externalLinks/externalLink2.xml"/><Relationship Id="rId27" Type="http://schemas.openxmlformats.org/officeDocument/2006/relationships/externalLink" Target="externalLinks/externalLink1.xml"/><Relationship Id="rId5" Type="http://schemas.openxmlformats.org/officeDocument/2006/relationships/worksheet" Target="worksheets/sheet2.xml"/><Relationship Id="rId6" Type="http://schemas.openxmlformats.org/officeDocument/2006/relationships/worksheet" Target="worksheets/sheet3.xml"/><Relationship Id="rId29" Type="http://schemas.openxmlformats.org/officeDocument/2006/relationships/externalLink" Target="externalLinks/externalLink3.xml"/><Relationship Id="rId7" Type="http://schemas.openxmlformats.org/officeDocument/2006/relationships/worksheet" Target="worksheets/sheet4.xml"/><Relationship Id="rId8" Type="http://schemas.openxmlformats.org/officeDocument/2006/relationships/worksheet" Target="worksheets/sheet5.xml"/><Relationship Id="rId31" Type="http://schemas.openxmlformats.org/officeDocument/2006/relationships/externalLink" Target="externalLinks/externalLink5.xml"/><Relationship Id="rId30" Type="http://schemas.openxmlformats.org/officeDocument/2006/relationships/externalLink" Target="externalLinks/externalLink4.xml"/><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19" Type="http://schemas.openxmlformats.org/officeDocument/2006/relationships/worksheet" Target="worksheets/sheet16.xml"/><Relationship Id="rId18" Type="http://schemas.openxmlformats.org/officeDocument/2006/relationships/worksheet" Target="worksheets/sheet1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inpc\c\Documents%20and%20Settings\a.s.daga\My%20Documents\Charbhuja%20Trading%20&amp;%20Agencies%20Pvt%20Ltd\Project%20Report\Project%20Report\Copy%20of%20Project%20Repor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pserver\my%20documents\A.S.Daga%20&amp;%20Co\Wadhwani%20Cold%20Storage%20&amp;%20Ice%20Plant%20(P)%20Ltd\NEW%20PLANT%20PROJECT\Project%20Report%20(Cold%20Storage)%20Revis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ikhil/Desktop/VISHVJEET/Vishwajeet/Vishvjeet/Vishu/Seed%20Processing/Pariwarta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PSERVER\My%20Documents\A.S.Daga%20&amp;%20Co\Dhanashrimata%20Agro%20Farm%20Pvt.%20%20Ltd\Project%20Report%20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Nikhil\Desktop\VISHVJEET\Chaskarji\Dharti%20FPC\Dharti%20FPC.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Glance"/>
      <sheetName val="Balance Sheet"/>
      <sheetName val="Profit"/>
      <sheetName val="IRR"/>
      <sheetName val="Cash Flow"/>
      <sheetName val="SALES"/>
      <sheetName val="Raw Mt. Cons"/>
      <sheetName val="Labour"/>
      <sheetName val="Power"/>
      <sheetName val="Cl Stock FG"/>
      <sheetName val="Stores"/>
      <sheetName val="Steam"/>
      <sheetName val="Chemicals"/>
      <sheetName val="Other Mfg Exp"/>
      <sheetName val="Repaira &amp; Maintainance"/>
      <sheetName val="Drums"/>
      <sheetName val="Clearing"/>
      <sheetName val="Interest "/>
      <sheetName val="Depriciation"/>
      <sheetName val="MPBF"/>
      <sheetName val="Ratios"/>
      <sheetName val="Turnover Ratio"/>
      <sheetName val="ISCR"/>
      <sheetName val="DSCR"/>
      <sheetName val="Debt Equity"/>
      <sheetName val="BEP"/>
      <sheetName val="Ratio Summary"/>
      <sheetName val="Graph 1"/>
      <sheetName val="Graph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Sheet1"/>
      <sheetName val="Glance"/>
      <sheetName val="Balance Sheet"/>
      <sheetName val="Profit"/>
      <sheetName val="Cash Flow"/>
      <sheetName val="Sales"/>
      <sheetName val="Labour charges"/>
      <sheetName val="Admin Exp"/>
      <sheetName val="Salary Expenses"/>
      <sheetName val="Power"/>
      <sheetName val="Depriciation"/>
      <sheetName val="Interest TL"/>
      <sheetName val="ISCR"/>
      <sheetName val="DSCR"/>
      <sheetName val="MPBF"/>
      <sheetName val="BEP"/>
      <sheetName val="IRR"/>
      <sheetName val="Debt Equity"/>
      <sheetName val="Turnover Ratio"/>
      <sheetName val="Ratio Summary"/>
      <sheetName val="Graph 1"/>
      <sheetName val="Graph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Sheet1"/>
      <sheetName val="Glance"/>
      <sheetName val="Balance Sheet"/>
      <sheetName val="Profit"/>
      <sheetName val="Exp"/>
      <sheetName val="Ratios"/>
      <sheetName val="Cash Flow"/>
      <sheetName val="Output-Breeder"/>
      <sheetName val="Output-Foundation"/>
      <sheetName val="Closing Stock R.M"/>
      <sheetName val="Closing Stock F.G"/>
      <sheetName val="Sales"/>
      <sheetName val="Purchases"/>
      <sheetName val="Interest "/>
      <sheetName val="Depreciation"/>
      <sheetName val="DSCR"/>
      <sheetName val="MPBF"/>
      <sheetName val="Debt Equity"/>
      <sheetName val="ISCR"/>
      <sheetName val="IRR"/>
      <sheetName val="Turnover Ratio"/>
      <sheetName val="BEP"/>
      <sheetName val="Ratio Summary"/>
      <sheetName val="Graph 1"/>
      <sheetName val="Graph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Query"/>
      <sheetName val="Glance"/>
      <sheetName val="Balance Sheet"/>
      <sheetName val="Profit"/>
      <sheetName val="Cash Flow"/>
      <sheetName val="Cost of Production"/>
      <sheetName val="Cl Stock"/>
      <sheetName val="Salary"/>
      <sheetName val="Other Indirect Expenses"/>
      <sheetName val="Interest "/>
      <sheetName val="Depriciation"/>
      <sheetName val="DSCR"/>
      <sheetName val="ISCR"/>
      <sheetName val="Ratios"/>
      <sheetName val="Debt Equity"/>
      <sheetName val="Ratio Summary"/>
      <sheetName val="IRR"/>
      <sheetName val="Turnover Ratio"/>
      <sheetName val="BEP"/>
      <sheetName val="Graph 1"/>
      <sheetName val="Graph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5.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xmlns:r="http://schemas.openxmlformats.org/officeDocument/2006/relationships" name="Office Theme">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cap="flat" cmpd="sng" w="9525" algn="ctr">
          <a:solidFill>
            <a:schemeClr val="phClr">
              <a:shade val="95000"/>
              <a:satMod val="105000"/>
            </a:schemeClr>
          </a:solidFill>
          <a:prstDash val="solid"/>
        </a:ln>
        <a:ln cap="flat" cmpd="sng" w="25400" algn="ctr">
          <a:solidFill>
            <a:schemeClr val="phClr"/>
          </a:solidFill>
          <a:prstDash val="solid"/>
        </a:ln>
        <a:ln cap="flat" cmpd="sng" w="38100" algn="ctr">
          <a:solidFill>
            <a:schemeClr val="phClr"/>
          </a:solidFill>
          <a:prstDash val="solid"/>
        </a:ln>
      </a:lnStyleLst>
      <a:effectStyleLst>
        <a:effectStyle>
          <a:effectLst>
            <a:outerShdw blurRad="40000" rotWithShape="0" dir="5400000" dist="20000">
              <a:srgbClr val="000000">
                <a:alpha val="38000"/>
              </a:srgbClr>
            </a:outerShdw>
          </a:effectLst>
        </a:effectStyle>
        <a:effectStyle>
          <a:effectLst>
            <a:outerShdw blurRad="40000" rotWithShape="0" dir="5400000" dist="23000">
              <a:srgbClr val="000000">
                <a:alpha val="35000"/>
              </a:srgbClr>
            </a:outerShdw>
          </a:effectLst>
        </a:effectStyle>
        <a:effectStyle>
          <a:effectLst>
            <a:outerShdw blurRad="40000" rotWithShape="0" dir="5400000" dist="2300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hyperlink" Target="https://www.investopedia.com/terms/d/discountrate.asp" TargetMode="External"/><Relationship Id="rId2"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hyperlink" Target="https://www.investopedia.com/terms/d/discountrate.asp" TargetMode="External"/><Relationship Id="rId2"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2.86"/>
    <col customWidth="1" min="2" max="2" width="56.0"/>
    <col customWidth="1" min="3" max="3" width="31.43"/>
    <col customWidth="1" min="4" max="4" width="26.43"/>
    <col customWidth="1" min="5" max="5" width="29.43"/>
    <col customWidth="1" min="6" max="11" width="9.14"/>
  </cols>
  <sheetData>
    <row r="1" ht="14.25" customHeight="1">
      <c r="A1" s="1"/>
      <c r="B1" s="1"/>
      <c r="C1" s="1"/>
      <c r="D1" s="1"/>
      <c r="E1" s="1"/>
      <c r="F1" s="1"/>
      <c r="G1" s="1"/>
      <c r="H1" s="1"/>
      <c r="I1" s="1"/>
      <c r="J1" s="1"/>
      <c r="K1" s="1"/>
    </row>
    <row r="2" ht="26.25" customHeight="1">
      <c r="A2" s="2" t="s">
        <v>0</v>
      </c>
      <c r="B2" s="3"/>
      <c r="C2" s="3"/>
      <c r="D2" s="3"/>
      <c r="E2" s="3"/>
      <c r="F2" s="1"/>
      <c r="G2" s="1"/>
      <c r="H2" s="1"/>
      <c r="I2" s="1"/>
      <c r="J2" s="1"/>
      <c r="K2" s="1"/>
    </row>
    <row r="3" ht="26.25" customHeight="1">
      <c r="A3" s="4" t="s">
        <v>1</v>
      </c>
      <c r="B3" s="5"/>
      <c r="C3" s="5"/>
      <c r="D3" s="5"/>
      <c r="E3" s="6"/>
      <c r="F3" s="1"/>
      <c r="G3" s="1"/>
      <c r="H3" s="1"/>
      <c r="I3" s="1"/>
      <c r="J3" s="1"/>
      <c r="K3" s="1"/>
    </row>
    <row r="4" ht="23.25" customHeight="1">
      <c r="A4" s="7" t="s">
        <v>2</v>
      </c>
      <c r="B4" s="5"/>
      <c r="C4" s="5"/>
      <c r="D4" s="5"/>
      <c r="E4" s="6"/>
      <c r="F4" s="1"/>
      <c r="G4" s="1"/>
      <c r="H4" s="1"/>
      <c r="I4" s="1"/>
      <c r="J4" s="1"/>
      <c r="K4" s="1"/>
    </row>
    <row r="5" ht="240.75" customHeight="1">
      <c r="A5" s="8" t="s">
        <v>3</v>
      </c>
      <c r="B5" s="5"/>
      <c r="C5" s="5"/>
      <c r="D5" s="5"/>
      <c r="E5" s="6"/>
      <c r="F5" s="1"/>
      <c r="G5" s="1"/>
      <c r="H5" s="1"/>
      <c r="I5" s="1"/>
      <c r="J5" s="1"/>
      <c r="K5" s="1"/>
    </row>
    <row r="6" ht="23.25" customHeight="1">
      <c r="A6" s="7" t="s">
        <v>4</v>
      </c>
      <c r="B6" s="5"/>
      <c r="C6" s="5"/>
      <c r="D6" s="5"/>
      <c r="E6" s="6"/>
      <c r="F6" s="1"/>
      <c r="G6" s="1"/>
      <c r="H6" s="1"/>
      <c r="I6" s="1"/>
      <c r="J6" s="1"/>
      <c r="K6" s="1"/>
    </row>
    <row r="7" ht="108.0" customHeight="1">
      <c r="A7" s="8" t="s">
        <v>5</v>
      </c>
      <c r="B7" s="5"/>
      <c r="C7" s="5"/>
      <c r="D7" s="5"/>
      <c r="E7" s="6"/>
      <c r="F7" s="1"/>
      <c r="G7" s="1"/>
      <c r="H7" s="1"/>
      <c r="I7" s="1"/>
      <c r="J7" s="1"/>
      <c r="K7" s="1"/>
    </row>
    <row r="8" ht="23.25" customHeight="1">
      <c r="A8" s="9" t="s">
        <v>6</v>
      </c>
      <c r="B8" s="5"/>
      <c r="C8" s="5"/>
      <c r="D8" s="5"/>
      <c r="E8" s="6"/>
      <c r="F8" s="1"/>
      <c r="G8" s="1"/>
      <c r="H8" s="1"/>
      <c r="I8" s="1"/>
      <c r="J8" s="1"/>
      <c r="K8" s="1"/>
    </row>
    <row r="9" ht="105.75" customHeight="1">
      <c r="A9" s="8" t="s">
        <v>7</v>
      </c>
      <c r="B9" s="5"/>
      <c r="C9" s="5"/>
      <c r="D9" s="5"/>
      <c r="E9" s="6"/>
      <c r="F9" s="1"/>
      <c r="G9" s="1"/>
      <c r="H9" s="1"/>
      <c r="I9" s="1"/>
      <c r="J9" s="1"/>
      <c r="K9" s="1"/>
    </row>
    <row r="10" ht="14.25" customHeight="1">
      <c r="A10" s="7" t="s">
        <v>8</v>
      </c>
      <c r="B10" s="5"/>
      <c r="C10" s="5"/>
      <c r="D10" s="5"/>
      <c r="E10" s="6"/>
      <c r="F10" s="1"/>
      <c r="G10" s="1"/>
      <c r="H10" s="1"/>
      <c r="I10" s="1"/>
      <c r="J10" s="1"/>
      <c r="K10" s="1"/>
    </row>
    <row r="11" ht="14.25" customHeight="1">
      <c r="A11" s="1" t="s">
        <v>9</v>
      </c>
      <c r="B11" s="1" t="s">
        <v>10</v>
      </c>
      <c r="C11" s="1"/>
      <c r="D11" s="1"/>
      <c r="E11" s="1"/>
      <c r="F11" s="1"/>
      <c r="G11" s="1"/>
      <c r="H11" s="1"/>
      <c r="I11" s="1"/>
      <c r="J11" s="1"/>
      <c r="K11" s="1"/>
    </row>
    <row r="12" ht="20.25" customHeight="1">
      <c r="A12" s="10"/>
      <c r="B12" s="11" t="s">
        <v>11</v>
      </c>
      <c r="C12" s="5"/>
      <c r="D12" s="5"/>
      <c r="E12" s="6"/>
      <c r="F12" s="1"/>
      <c r="G12" s="1"/>
      <c r="H12" s="1"/>
      <c r="I12" s="1"/>
      <c r="J12" s="1"/>
      <c r="K12" s="1"/>
    </row>
    <row r="13" ht="14.25" customHeight="1">
      <c r="A13" s="12"/>
      <c r="B13" s="11" t="s">
        <v>12</v>
      </c>
      <c r="C13" s="5"/>
      <c r="D13" s="5"/>
      <c r="E13" s="6"/>
      <c r="F13" s="1"/>
      <c r="G13" s="1"/>
      <c r="H13" s="1"/>
      <c r="I13" s="1"/>
      <c r="J13" s="1"/>
      <c r="K13" s="1"/>
    </row>
    <row r="14" ht="14.25" customHeight="1">
      <c r="A14" s="13"/>
      <c r="B14" s="5"/>
      <c r="C14" s="5"/>
      <c r="D14" s="5"/>
      <c r="E14" s="6"/>
      <c r="F14" s="1"/>
      <c r="G14" s="1"/>
      <c r="H14" s="1"/>
      <c r="I14" s="1"/>
      <c r="J14" s="1"/>
      <c r="K14" s="1"/>
    </row>
    <row r="15" ht="14.25" customHeight="1">
      <c r="A15" s="7" t="s">
        <v>13</v>
      </c>
      <c r="B15" s="5"/>
      <c r="C15" s="5"/>
      <c r="D15" s="5"/>
      <c r="E15" s="6"/>
      <c r="F15" s="1"/>
      <c r="G15" s="1"/>
      <c r="H15" s="1"/>
      <c r="I15" s="1"/>
      <c r="J15" s="1"/>
      <c r="K15" s="1"/>
    </row>
    <row r="16" ht="14.25" customHeight="1">
      <c r="A16" s="14" t="s">
        <v>14</v>
      </c>
      <c r="B16" s="14" t="s">
        <v>15</v>
      </c>
      <c r="C16" s="14" t="s">
        <v>16</v>
      </c>
      <c r="D16" s="14" t="s">
        <v>17</v>
      </c>
      <c r="E16" s="14" t="s">
        <v>18</v>
      </c>
      <c r="F16" s="1"/>
      <c r="G16" s="1"/>
      <c r="H16" s="1"/>
      <c r="I16" s="1"/>
      <c r="J16" s="1"/>
      <c r="K16" s="1"/>
    </row>
    <row r="17" ht="14.25" customHeight="1">
      <c r="A17" s="15" t="s">
        <v>19</v>
      </c>
      <c r="B17" s="15" t="s">
        <v>20</v>
      </c>
      <c r="C17" s="15"/>
      <c r="D17" s="15"/>
      <c r="E17" s="15"/>
      <c r="F17" s="1"/>
      <c r="G17" s="1"/>
      <c r="H17" s="1"/>
      <c r="I17" s="1"/>
      <c r="J17" s="1"/>
      <c r="K17" s="1"/>
    </row>
    <row r="18" ht="14.25" customHeight="1">
      <c r="A18" s="16" t="s">
        <v>21</v>
      </c>
      <c r="B18" s="17" t="s">
        <v>22</v>
      </c>
      <c r="C18" s="17" t="s">
        <v>23</v>
      </c>
      <c r="D18" s="17" t="s">
        <v>24</v>
      </c>
      <c r="E18" s="17"/>
      <c r="F18" s="1"/>
      <c r="G18" s="1"/>
      <c r="H18" s="1"/>
      <c r="I18" s="1"/>
      <c r="J18" s="1"/>
      <c r="K18" s="1"/>
    </row>
    <row r="19" ht="14.25" customHeight="1">
      <c r="A19" s="16" t="s">
        <v>25</v>
      </c>
      <c r="B19" s="17" t="s">
        <v>26</v>
      </c>
      <c r="C19" s="17" t="s">
        <v>27</v>
      </c>
      <c r="D19" s="17" t="s">
        <v>28</v>
      </c>
      <c r="E19" s="17"/>
      <c r="F19" s="1"/>
      <c r="G19" s="1"/>
      <c r="H19" s="1"/>
      <c r="I19" s="1"/>
      <c r="J19" s="1"/>
      <c r="K19" s="1"/>
    </row>
    <row r="20" ht="36.0" customHeight="1">
      <c r="A20" s="16" t="s">
        <v>29</v>
      </c>
      <c r="B20" s="18" t="s">
        <v>30</v>
      </c>
      <c r="C20" s="17" t="s">
        <v>31</v>
      </c>
      <c r="D20" s="17" t="s">
        <v>32</v>
      </c>
      <c r="E20" s="17" t="s">
        <v>33</v>
      </c>
      <c r="F20" s="1"/>
      <c r="G20" s="1"/>
      <c r="H20" s="1"/>
      <c r="I20" s="1"/>
      <c r="J20" s="1"/>
      <c r="K20" s="1"/>
    </row>
    <row r="21" ht="14.25" customHeight="1">
      <c r="A21" s="16" t="s">
        <v>34</v>
      </c>
      <c r="B21" s="17" t="s">
        <v>35</v>
      </c>
      <c r="C21" s="17"/>
      <c r="D21" s="17"/>
      <c r="E21" s="17"/>
      <c r="F21" s="1"/>
      <c r="G21" s="1"/>
      <c r="H21" s="1"/>
      <c r="I21" s="1"/>
      <c r="J21" s="1"/>
      <c r="K21" s="1"/>
    </row>
    <row r="22" ht="14.25" customHeight="1">
      <c r="A22" s="17">
        <v>4.1</v>
      </c>
      <c r="B22" s="17" t="s">
        <v>36</v>
      </c>
      <c r="C22" s="19" t="s">
        <v>37</v>
      </c>
      <c r="D22" s="17" t="s">
        <v>38</v>
      </c>
      <c r="E22" s="17"/>
      <c r="F22" s="1"/>
      <c r="G22" s="1"/>
      <c r="H22" s="1"/>
      <c r="I22" s="1"/>
      <c r="J22" s="1"/>
      <c r="K22" s="1"/>
    </row>
    <row r="23" ht="14.25" customHeight="1">
      <c r="A23" s="17">
        <v>4.2</v>
      </c>
      <c r="B23" s="17" t="s">
        <v>39</v>
      </c>
      <c r="C23" s="20"/>
      <c r="D23" s="17" t="s">
        <v>40</v>
      </c>
      <c r="E23" s="17"/>
      <c r="F23" s="1"/>
      <c r="G23" s="1"/>
      <c r="H23" s="1"/>
      <c r="I23" s="1"/>
      <c r="J23" s="1"/>
      <c r="K23" s="1"/>
    </row>
    <row r="24" ht="14.25" customHeight="1">
      <c r="A24" s="17">
        <v>4.3</v>
      </c>
      <c r="B24" s="17" t="s">
        <v>41</v>
      </c>
      <c r="C24" s="20"/>
      <c r="D24" s="17" t="s">
        <v>42</v>
      </c>
      <c r="E24" s="17"/>
      <c r="F24" s="1"/>
      <c r="G24" s="1"/>
      <c r="H24" s="1"/>
      <c r="I24" s="1"/>
      <c r="J24" s="1"/>
      <c r="K24" s="1"/>
    </row>
    <row r="25" ht="14.25" customHeight="1">
      <c r="A25" s="17">
        <v>4.4</v>
      </c>
      <c r="B25" s="17" t="s">
        <v>43</v>
      </c>
      <c r="C25" s="20"/>
      <c r="D25" s="17" t="s">
        <v>44</v>
      </c>
      <c r="E25" s="17"/>
      <c r="F25" s="1"/>
      <c r="G25" s="1"/>
      <c r="H25" s="1"/>
      <c r="I25" s="1"/>
      <c r="J25" s="1"/>
      <c r="K25" s="1"/>
    </row>
    <row r="26" ht="14.25" customHeight="1">
      <c r="A26" s="17">
        <v>4.5</v>
      </c>
      <c r="B26" s="17" t="s">
        <v>45</v>
      </c>
      <c r="C26" s="20"/>
      <c r="D26" s="17" t="s">
        <v>46</v>
      </c>
      <c r="E26" s="17"/>
      <c r="F26" s="1"/>
      <c r="G26" s="1"/>
      <c r="H26" s="1"/>
      <c r="I26" s="1"/>
      <c r="J26" s="1"/>
      <c r="K26" s="1"/>
    </row>
    <row r="27" ht="14.25" customHeight="1">
      <c r="A27" s="17">
        <v>4.6</v>
      </c>
      <c r="B27" s="17" t="s">
        <v>47</v>
      </c>
      <c r="C27" s="21"/>
      <c r="D27" s="17" t="s">
        <v>48</v>
      </c>
      <c r="E27" s="17"/>
      <c r="F27" s="1"/>
      <c r="G27" s="1"/>
      <c r="H27" s="1"/>
      <c r="I27" s="1"/>
      <c r="J27" s="1"/>
      <c r="K27" s="1"/>
    </row>
    <row r="28" ht="14.25" customHeight="1">
      <c r="A28" s="16" t="s">
        <v>49</v>
      </c>
      <c r="B28" s="17" t="s">
        <v>50</v>
      </c>
      <c r="C28" s="17" t="s">
        <v>51</v>
      </c>
      <c r="D28" s="17" t="s">
        <v>52</v>
      </c>
      <c r="E28" s="17"/>
      <c r="F28" s="1"/>
      <c r="G28" s="1"/>
      <c r="H28" s="1"/>
      <c r="I28" s="1"/>
      <c r="J28" s="1"/>
      <c r="K28" s="1"/>
    </row>
    <row r="29" ht="14.25" customHeight="1">
      <c r="A29" s="16" t="s">
        <v>53</v>
      </c>
      <c r="B29" s="17" t="s">
        <v>54</v>
      </c>
      <c r="C29" s="17" t="s">
        <v>55</v>
      </c>
      <c r="D29" s="17" t="s">
        <v>56</v>
      </c>
      <c r="E29" s="17"/>
      <c r="F29" s="1"/>
      <c r="G29" s="1"/>
      <c r="H29" s="1"/>
      <c r="I29" s="1"/>
      <c r="J29" s="1"/>
      <c r="K29" s="1"/>
    </row>
    <row r="30" ht="14.25" customHeight="1">
      <c r="A30" s="16" t="s">
        <v>57</v>
      </c>
      <c r="B30" s="17" t="s">
        <v>58</v>
      </c>
      <c r="C30" s="17" t="s">
        <v>59</v>
      </c>
      <c r="D30" s="17" t="s">
        <v>60</v>
      </c>
      <c r="E30" s="17"/>
      <c r="F30" s="1"/>
      <c r="G30" s="1"/>
      <c r="H30" s="1"/>
      <c r="I30" s="1"/>
      <c r="J30" s="1"/>
      <c r="K30" s="1"/>
    </row>
    <row r="31" ht="14.25" customHeight="1">
      <c r="A31" s="15" t="s">
        <v>61</v>
      </c>
      <c r="B31" s="22" t="s">
        <v>62</v>
      </c>
      <c r="C31" s="15"/>
      <c r="D31" s="15"/>
      <c r="E31" s="15"/>
      <c r="F31" s="1"/>
      <c r="G31" s="1"/>
      <c r="H31" s="1"/>
      <c r="I31" s="1"/>
      <c r="J31" s="1"/>
      <c r="K31" s="1"/>
    </row>
    <row r="32" ht="26.25" customHeight="1">
      <c r="A32" s="23" t="s">
        <v>63</v>
      </c>
      <c r="B32" s="17" t="s">
        <v>64</v>
      </c>
      <c r="C32" s="17"/>
      <c r="D32" s="17" t="s">
        <v>65</v>
      </c>
      <c r="E32" s="17" t="s">
        <v>33</v>
      </c>
      <c r="F32" s="1"/>
      <c r="G32" s="1"/>
      <c r="H32" s="1"/>
      <c r="I32" s="1"/>
      <c r="J32" s="1"/>
      <c r="K32" s="1"/>
    </row>
    <row r="33" ht="14.25" customHeight="1">
      <c r="A33" s="23" t="s">
        <v>66</v>
      </c>
      <c r="B33" s="17" t="s">
        <v>67</v>
      </c>
      <c r="C33" s="17"/>
      <c r="D33" s="17" t="s">
        <v>68</v>
      </c>
      <c r="E33" s="17" t="s">
        <v>33</v>
      </c>
      <c r="F33" s="1"/>
      <c r="G33" s="1"/>
      <c r="H33" s="1"/>
      <c r="I33" s="1"/>
      <c r="J33" s="1"/>
      <c r="K33" s="1"/>
    </row>
    <row r="34" ht="14.25" customHeight="1">
      <c r="A34" s="23" t="s">
        <v>69</v>
      </c>
      <c r="B34" s="17" t="s">
        <v>70</v>
      </c>
      <c r="C34" s="17"/>
      <c r="D34" s="17" t="s">
        <v>71</v>
      </c>
      <c r="E34" s="17" t="s">
        <v>33</v>
      </c>
      <c r="F34" s="1"/>
      <c r="G34" s="1"/>
      <c r="H34" s="1"/>
      <c r="I34" s="1"/>
      <c r="J34" s="1"/>
      <c r="K34" s="1"/>
    </row>
    <row r="35" ht="35.25" customHeight="1">
      <c r="A35" s="23" t="s">
        <v>72</v>
      </c>
      <c r="B35" s="17" t="s">
        <v>73</v>
      </c>
      <c r="C35" s="17"/>
      <c r="D35" s="17" t="s">
        <v>74</v>
      </c>
      <c r="E35" s="17" t="s">
        <v>33</v>
      </c>
      <c r="F35" s="1"/>
      <c r="G35" s="1"/>
      <c r="H35" s="1"/>
      <c r="I35" s="1"/>
      <c r="J35" s="1"/>
      <c r="K35" s="1"/>
    </row>
    <row r="36" ht="35.25" customHeight="1">
      <c r="A36" s="23" t="s">
        <v>75</v>
      </c>
      <c r="B36" s="17" t="s">
        <v>76</v>
      </c>
      <c r="C36" s="17"/>
      <c r="D36" s="17" t="s">
        <v>77</v>
      </c>
      <c r="E36" s="17" t="s">
        <v>33</v>
      </c>
      <c r="F36" s="1"/>
      <c r="G36" s="1"/>
      <c r="H36" s="1"/>
      <c r="I36" s="1"/>
      <c r="J36" s="1"/>
      <c r="K36" s="1"/>
    </row>
    <row r="37" ht="14.25" customHeight="1">
      <c r="A37" s="16" t="s">
        <v>78</v>
      </c>
      <c r="B37" s="17" t="s">
        <v>79</v>
      </c>
      <c r="C37" s="17"/>
      <c r="D37" s="17"/>
      <c r="E37" s="17"/>
      <c r="F37" s="1"/>
      <c r="G37" s="1"/>
      <c r="H37" s="1"/>
      <c r="I37" s="1"/>
      <c r="J37" s="1"/>
      <c r="K37" s="1"/>
    </row>
    <row r="38" ht="14.25" customHeight="1">
      <c r="A38" s="1"/>
      <c r="B38" s="1"/>
      <c r="C38" s="1"/>
      <c r="D38" s="1"/>
      <c r="E38" s="1"/>
      <c r="F38" s="1"/>
      <c r="G38" s="1"/>
      <c r="H38" s="1"/>
      <c r="I38" s="1"/>
      <c r="J38" s="1"/>
      <c r="K38" s="1"/>
    </row>
    <row r="39" ht="14.25" customHeight="1">
      <c r="A39" s="1"/>
      <c r="B39" s="1"/>
      <c r="C39" s="1"/>
      <c r="D39" s="1"/>
      <c r="E39" s="1"/>
      <c r="F39" s="1"/>
      <c r="G39" s="1"/>
      <c r="H39" s="1"/>
      <c r="I39" s="1"/>
      <c r="J39" s="1"/>
      <c r="K39" s="1"/>
    </row>
    <row r="40" ht="14.25" customHeight="1">
      <c r="A40" s="1"/>
      <c r="B40" s="1"/>
      <c r="C40" s="1"/>
      <c r="D40" s="1"/>
      <c r="E40" s="1"/>
      <c r="F40" s="1"/>
      <c r="G40" s="1"/>
      <c r="H40" s="1"/>
      <c r="I40" s="1"/>
      <c r="J40" s="1"/>
      <c r="K40" s="1"/>
    </row>
    <row r="41" ht="14.25" customHeight="1">
      <c r="A41" s="1"/>
      <c r="B41" s="1"/>
      <c r="C41" s="1"/>
      <c r="D41" s="1"/>
      <c r="E41" s="1"/>
      <c r="F41" s="1"/>
      <c r="G41" s="1"/>
      <c r="H41" s="1"/>
      <c r="I41" s="1"/>
      <c r="J41" s="1"/>
      <c r="K41" s="1"/>
    </row>
    <row r="42" ht="14.25" customHeight="1">
      <c r="A42" s="1"/>
      <c r="B42" s="1"/>
      <c r="C42" s="1"/>
      <c r="D42" s="1"/>
      <c r="E42" s="1"/>
      <c r="F42" s="1"/>
      <c r="G42" s="1"/>
      <c r="H42" s="1"/>
      <c r="I42" s="1"/>
      <c r="J42" s="1"/>
      <c r="K42" s="1"/>
    </row>
    <row r="43" ht="14.25" customHeight="1">
      <c r="A43" s="1"/>
      <c r="B43" s="1"/>
      <c r="C43" s="1"/>
      <c r="D43" s="1"/>
      <c r="E43" s="1"/>
      <c r="F43" s="1"/>
      <c r="G43" s="1"/>
      <c r="H43" s="1"/>
      <c r="I43" s="1"/>
      <c r="J43" s="1"/>
      <c r="K43" s="1"/>
    </row>
    <row r="44" ht="14.25" customHeight="1">
      <c r="A44" s="1"/>
      <c r="B44" s="1"/>
      <c r="C44" s="1"/>
      <c r="D44" s="1"/>
      <c r="E44" s="1"/>
      <c r="F44" s="1"/>
      <c r="G44" s="1"/>
      <c r="H44" s="1"/>
      <c r="I44" s="1"/>
      <c r="J44" s="1"/>
      <c r="K44" s="1"/>
    </row>
    <row r="45" ht="14.25" customHeight="1">
      <c r="A45" s="1"/>
      <c r="B45" s="1"/>
      <c r="C45" s="1"/>
      <c r="D45" s="1"/>
      <c r="E45" s="1"/>
      <c r="F45" s="1"/>
      <c r="G45" s="1"/>
      <c r="H45" s="1"/>
      <c r="I45" s="1"/>
      <c r="J45" s="1"/>
      <c r="K45" s="1"/>
    </row>
    <row r="46" ht="14.25" customHeight="1">
      <c r="A46" s="1"/>
      <c r="B46" s="1"/>
      <c r="C46" s="1"/>
      <c r="D46" s="1"/>
      <c r="E46" s="1"/>
      <c r="F46" s="1"/>
      <c r="G46" s="1"/>
      <c r="H46" s="1"/>
      <c r="I46" s="1"/>
      <c r="J46" s="1"/>
      <c r="K46" s="1"/>
    </row>
    <row r="47" ht="14.25" customHeight="1">
      <c r="A47" s="1"/>
      <c r="B47" s="1"/>
      <c r="C47" s="1"/>
      <c r="D47" s="1"/>
      <c r="E47" s="1"/>
      <c r="F47" s="1"/>
      <c r="G47" s="1"/>
      <c r="H47" s="1"/>
      <c r="I47" s="1"/>
      <c r="J47" s="1"/>
      <c r="K47" s="1"/>
    </row>
    <row r="48" ht="14.25" customHeight="1">
      <c r="A48" s="1"/>
      <c r="B48" s="1"/>
      <c r="C48" s="1"/>
      <c r="D48" s="1"/>
      <c r="E48" s="1"/>
      <c r="F48" s="1"/>
      <c r="G48" s="1"/>
      <c r="H48" s="1"/>
      <c r="I48" s="1"/>
      <c r="J48" s="1"/>
      <c r="K48" s="1"/>
    </row>
    <row r="49" ht="14.25" customHeight="1">
      <c r="A49" s="1"/>
      <c r="B49" s="1"/>
      <c r="C49" s="1"/>
      <c r="D49" s="1"/>
      <c r="E49" s="1"/>
      <c r="F49" s="1"/>
      <c r="G49" s="1"/>
      <c r="H49" s="1"/>
      <c r="I49" s="1"/>
      <c r="J49" s="1"/>
      <c r="K49" s="1"/>
    </row>
    <row r="50" ht="14.25" customHeight="1">
      <c r="A50" s="1"/>
      <c r="B50" s="1"/>
      <c r="C50" s="1"/>
      <c r="D50" s="1"/>
      <c r="E50" s="1"/>
      <c r="F50" s="1"/>
      <c r="G50" s="1"/>
      <c r="H50" s="1"/>
      <c r="I50" s="1"/>
      <c r="J50" s="1"/>
      <c r="K50" s="1"/>
    </row>
    <row r="51" ht="14.25" customHeight="1">
      <c r="A51" s="1"/>
      <c r="B51" s="1"/>
      <c r="C51" s="1"/>
      <c r="D51" s="1"/>
      <c r="E51" s="1"/>
      <c r="F51" s="1"/>
      <c r="G51" s="1"/>
      <c r="H51" s="1"/>
      <c r="I51" s="1"/>
      <c r="J51" s="1"/>
      <c r="K51" s="1"/>
    </row>
    <row r="52" ht="14.25" customHeight="1">
      <c r="A52" s="1"/>
      <c r="B52" s="1"/>
      <c r="C52" s="1"/>
      <c r="D52" s="1"/>
      <c r="E52" s="1"/>
      <c r="F52" s="1"/>
      <c r="G52" s="1"/>
      <c r="H52" s="1"/>
      <c r="I52" s="1"/>
      <c r="J52" s="1"/>
      <c r="K52" s="1"/>
    </row>
    <row r="53" ht="14.25" customHeight="1">
      <c r="A53" s="1"/>
      <c r="B53" s="1"/>
      <c r="C53" s="1"/>
      <c r="D53" s="1"/>
      <c r="E53" s="1"/>
      <c r="F53" s="1"/>
      <c r="G53" s="1"/>
      <c r="H53" s="1"/>
      <c r="I53" s="1"/>
      <c r="J53" s="1"/>
      <c r="K53" s="1"/>
    </row>
    <row r="54" ht="14.25" customHeight="1">
      <c r="A54" s="1"/>
      <c r="B54" s="1"/>
      <c r="C54" s="1"/>
      <c r="D54" s="1"/>
      <c r="E54" s="1"/>
      <c r="F54" s="1"/>
      <c r="G54" s="1"/>
      <c r="H54" s="1"/>
      <c r="I54" s="1"/>
      <c r="J54" s="1"/>
      <c r="K54" s="1"/>
    </row>
    <row r="55" ht="14.25" customHeight="1">
      <c r="A55" s="1"/>
      <c r="B55" s="1"/>
      <c r="C55" s="1"/>
      <c r="D55" s="1"/>
      <c r="E55" s="1"/>
      <c r="F55" s="1"/>
      <c r="G55" s="1"/>
      <c r="H55" s="1"/>
      <c r="I55" s="1"/>
      <c r="J55" s="1"/>
      <c r="K55" s="1"/>
    </row>
    <row r="56" ht="14.25" customHeight="1">
      <c r="A56" s="1"/>
      <c r="B56" s="1"/>
      <c r="C56" s="1"/>
      <c r="D56" s="1"/>
      <c r="E56" s="1"/>
      <c r="F56" s="1"/>
      <c r="G56" s="1"/>
      <c r="H56" s="1"/>
      <c r="I56" s="1"/>
      <c r="J56" s="1"/>
      <c r="K56" s="1"/>
    </row>
    <row r="57" ht="14.25" customHeight="1">
      <c r="A57" s="1"/>
      <c r="B57" s="1"/>
      <c r="C57" s="1"/>
      <c r="D57" s="1"/>
      <c r="E57" s="1"/>
      <c r="F57" s="1"/>
      <c r="G57" s="1"/>
      <c r="H57" s="1"/>
      <c r="I57" s="1"/>
      <c r="J57" s="1"/>
      <c r="K57" s="1"/>
    </row>
    <row r="58" ht="14.25" customHeight="1">
      <c r="A58" s="1"/>
      <c r="B58" s="1"/>
      <c r="C58" s="1"/>
      <c r="D58" s="1"/>
      <c r="E58" s="1"/>
      <c r="F58" s="1"/>
      <c r="G58" s="1"/>
      <c r="H58" s="1"/>
      <c r="I58" s="1"/>
      <c r="J58" s="1"/>
      <c r="K58" s="1"/>
    </row>
    <row r="59" ht="14.25" customHeight="1">
      <c r="A59" s="1"/>
      <c r="B59" s="1"/>
      <c r="C59" s="1"/>
      <c r="D59" s="1"/>
      <c r="E59" s="1"/>
      <c r="F59" s="1"/>
      <c r="G59" s="1"/>
      <c r="H59" s="1"/>
      <c r="I59" s="1"/>
      <c r="J59" s="1"/>
      <c r="K59" s="1"/>
    </row>
    <row r="60" ht="14.25" customHeight="1">
      <c r="A60" s="1"/>
      <c r="B60" s="1"/>
      <c r="C60" s="1"/>
      <c r="D60" s="1"/>
      <c r="E60" s="1"/>
      <c r="F60" s="1"/>
      <c r="G60" s="1"/>
      <c r="H60" s="1"/>
      <c r="I60" s="1"/>
      <c r="J60" s="1"/>
      <c r="K60" s="1"/>
    </row>
    <row r="61" ht="14.25" customHeight="1">
      <c r="A61" s="1"/>
      <c r="B61" s="1"/>
      <c r="C61" s="1"/>
      <c r="D61" s="1"/>
      <c r="E61" s="1"/>
      <c r="F61" s="1"/>
      <c r="G61" s="1"/>
      <c r="H61" s="1"/>
      <c r="I61" s="1"/>
      <c r="J61" s="1"/>
      <c r="K61" s="1"/>
    </row>
    <row r="62" ht="14.25" customHeight="1">
      <c r="A62" s="1"/>
      <c r="B62" s="1"/>
      <c r="C62" s="1"/>
      <c r="D62" s="1"/>
      <c r="E62" s="1"/>
      <c r="F62" s="1"/>
      <c r="G62" s="1"/>
      <c r="H62" s="1"/>
      <c r="I62" s="1"/>
      <c r="J62" s="1"/>
      <c r="K62" s="1"/>
    </row>
    <row r="63" ht="14.25" customHeight="1">
      <c r="A63" s="1"/>
      <c r="B63" s="1"/>
      <c r="C63" s="1"/>
      <c r="D63" s="1"/>
      <c r="E63" s="1"/>
      <c r="F63" s="1"/>
      <c r="G63" s="1"/>
      <c r="H63" s="1"/>
      <c r="I63" s="1"/>
      <c r="J63" s="1"/>
      <c r="K63" s="1"/>
    </row>
    <row r="64" ht="14.25" customHeight="1">
      <c r="A64" s="1"/>
      <c r="B64" s="1"/>
      <c r="C64" s="1"/>
      <c r="D64" s="1"/>
      <c r="E64" s="1"/>
      <c r="F64" s="1"/>
      <c r="G64" s="1"/>
      <c r="H64" s="1"/>
      <c r="I64" s="1"/>
      <c r="J64" s="1"/>
      <c r="K64" s="1"/>
    </row>
    <row r="65" ht="14.25" customHeight="1">
      <c r="A65" s="1"/>
      <c r="B65" s="1"/>
      <c r="C65" s="1"/>
      <c r="D65" s="1"/>
      <c r="E65" s="1"/>
      <c r="F65" s="1"/>
      <c r="G65" s="1"/>
      <c r="H65" s="1"/>
      <c r="I65" s="1"/>
      <c r="J65" s="1"/>
      <c r="K65" s="1"/>
    </row>
    <row r="66" ht="14.25" customHeight="1">
      <c r="A66" s="1"/>
      <c r="B66" s="1"/>
      <c r="C66" s="1"/>
      <c r="D66" s="1"/>
      <c r="E66" s="1"/>
      <c r="F66" s="1"/>
      <c r="G66" s="1"/>
      <c r="H66" s="1"/>
      <c r="I66" s="1"/>
      <c r="J66" s="1"/>
      <c r="K66" s="1"/>
    </row>
    <row r="67" ht="14.25" customHeight="1">
      <c r="A67" s="1"/>
      <c r="B67" s="1"/>
      <c r="C67" s="1"/>
      <c r="D67" s="1"/>
      <c r="E67" s="1"/>
      <c r="F67" s="1"/>
      <c r="G67" s="1"/>
      <c r="H67" s="1"/>
      <c r="I67" s="1"/>
      <c r="J67" s="1"/>
      <c r="K67" s="1"/>
    </row>
    <row r="68" ht="14.25" customHeight="1">
      <c r="A68" s="1"/>
      <c r="B68" s="1"/>
      <c r="C68" s="1"/>
      <c r="D68" s="1"/>
      <c r="E68" s="1"/>
      <c r="F68" s="1"/>
      <c r="G68" s="1"/>
      <c r="H68" s="1"/>
      <c r="I68" s="1"/>
      <c r="J68" s="1"/>
      <c r="K68" s="1"/>
    </row>
    <row r="69" ht="14.25" customHeight="1">
      <c r="A69" s="1"/>
      <c r="B69" s="1"/>
      <c r="C69" s="1"/>
      <c r="D69" s="1"/>
      <c r="E69" s="1"/>
      <c r="F69" s="1"/>
      <c r="G69" s="1"/>
      <c r="H69" s="1"/>
      <c r="I69" s="1"/>
      <c r="J69" s="1"/>
      <c r="K69" s="1"/>
    </row>
    <row r="70" ht="14.25" customHeight="1">
      <c r="A70" s="1"/>
      <c r="B70" s="1"/>
      <c r="C70" s="1"/>
      <c r="D70" s="1"/>
      <c r="E70" s="1"/>
      <c r="F70" s="1"/>
      <c r="G70" s="1"/>
      <c r="H70" s="1"/>
      <c r="I70" s="1"/>
      <c r="J70" s="1"/>
      <c r="K70" s="1"/>
    </row>
    <row r="71" ht="14.25" customHeight="1">
      <c r="A71" s="1"/>
      <c r="B71" s="1"/>
      <c r="C71" s="1"/>
      <c r="D71" s="1"/>
      <c r="E71" s="1"/>
      <c r="F71" s="1"/>
      <c r="G71" s="1"/>
      <c r="H71" s="1"/>
      <c r="I71" s="1"/>
      <c r="J71" s="1"/>
      <c r="K71" s="1"/>
    </row>
    <row r="72" ht="14.25" customHeight="1">
      <c r="A72" s="1"/>
      <c r="B72" s="1"/>
      <c r="C72" s="1"/>
      <c r="D72" s="1"/>
      <c r="E72" s="1"/>
      <c r="F72" s="1"/>
      <c r="G72" s="1"/>
      <c r="H72" s="1"/>
      <c r="I72" s="1"/>
      <c r="J72" s="1"/>
      <c r="K72" s="1"/>
    </row>
    <row r="73" ht="14.25" customHeight="1">
      <c r="A73" s="1"/>
      <c r="B73" s="1"/>
      <c r="C73" s="1"/>
      <c r="D73" s="1"/>
      <c r="E73" s="1"/>
      <c r="F73" s="1"/>
      <c r="G73" s="1"/>
      <c r="H73" s="1"/>
      <c r="I73" s="1"/>
      <c r="J73" s="1"/>
      <c r="K73" s="1"/>
    </row>
    <row r="74" ht="14.25" customHeight="1">
      <c r="A74" s="1"/>
      <c r="B74" s="1"/>
      <c r="C74" s="1"/>
      <c r="D74" s="1"/>
      <c r="E74" s="1"/>
      <c r="F74" s="1"/>
      <c r="G74" s="1"/>
      <c r="H74" s="1"/>
      <c r="I74" s="1"/>
      <c r="J74" s="1"/>
      <c r="K74" s="1"/>
    </row>
    <row r="75" ht="14.25" customHeight="1">
      <c r="A75" s="1"/>
      <c r="B75" s="1"/>
      <c r="C75" s="1"/>
      <c r="D75" s="1"/>
      <c r="E75" s="1"/>
      <c r="F75" s="1"/>
      <c r="G75" s="1"/>
      <c r="H75" s="1"/>
      <c r="I75" s="1"/>
      <c r="J75" s="1"/>
      <c r="K75" s="1"/>
    </row>
    <row r="76" ht="14.25" customHeight="1">
      <c r="A76" s="1"/>
      <c r="B76" s="1"/>
      <c r="C76" s="1"/>
      <c r="D76" s="1"/>
      <c r="E76" s="1"/>
      <c r="F76" s="1"/>
      <c r="G76" s="1"/>
      <c r="H76" s="1"/>
      <c r="I76" s="1"/>
      <c r="J76" s="1"/>
      <c r="K76" s="1"/>
    </row>
    <row r="77" ht="14.25" customHeight="1">
      <c r="A77" s="1"/>
      <c r="B77" s="1"/>
      <c r="C77" s="1"/>
      <c r="D77" s="1"/>
      <c r="E77" s="1"/>
      <c r="F77" s="1"/>
      <c r="G77" s="1"/>
      <c r="H77" s="1"/>
      <c r="I77" s="1"/>
      <c r="J77" s="1"/>
      <c r="K77" s="1"/>
    </row>
    <row r="78" ht="14.25" customHeight="1">
      <c r="A78" s="1"/>
      <c r="B78" s="1"/>
      <c r="C78" s="1"/>
      <c r="D78" s="1"/>
      <c r="E78" s="1"/>
      <c r="F78" s="1"/>
      <c r="G78" s="1"/>
      <c r="H78" s="1"/>
      <c r="I78" s="1"/>
      <c r="J78" s="1"/>
      <c r="K78" s="1"/>
    </row>
    <row r="79" ht="14.25" customHeight="1">
      <c r="A79" s="1"/>
      <c r="B79" s="1"/>
      <c r="C79" s="1"/>
      <c r="D79" s="1"/>
      <c r="E79" s="1"/>
      <c r="F79" s="1"/>
      <c r="G79" s="1"/>
      <c r="H79" s="1"/>
      <c r="I79" s="1"/>
      <c r="J79" s="1"/>
      <c r="K79" s="1"/>
    </row>
    <row r="80" ht="14.25" customHeight="1">
      <c r="A80" s="1"/>
      <c r="B80" s="1"/>
      <c r="C80" s="1"/>
      <c r="D80" s="1"/>
      <c r="E80" s="1"/>
      <c r="F80" s="1"/>
      <c r="G80" s="1"/>
      <c r="H80" s="1"/>
      <c r="I80" s="1"/>
      <c r="J80" s="1"/>
      <c r="K80" s="1"/>
    </row>
    <row r="81" ht="14.25" customHeight="1">
      <c r="A81" s="1"/>
      <c r="B81" s="1"/>
      <c r="C81" s="1"/>
      <c r="D81" s="1"/>
      <c r="E81" s="1"/>
      <c r="F81" s="1"/>
      <c r="G81" s="1"/>
      <c r="H81" s="1"/>
      <c r="I81" s="1"/>
      <c r="J81" s="1"/>
      <c r="K81" s="1"/>
    </row>
    <row r="82" ht="14.25" customHeight="1">
      <c r="A82" s="1"/>
      <c r="B82" s="1"/>
      <c r="C82" s="1"/>
      <c r="D82" s="1"/>
      <c r="E82" s="1"/>
      <c r="F82" s="1"/>
      <c r="G82" s="1"/>
      <c r="H82" s="1"/>
      <c r="I82" s="1"/>
      <c r="J82" s="1"/>
      <c r="K82" s="1"/>
    </row>
    <row r="83" ht="14.25" customHeight="1">
      <c r="A83" s="1"/>
      <c r="B83" s="1"/>
      <c r="C83" s="1"/>
      <c r="D83" s="1"/>
      <c r="E83" s="1"/>
      <c r="F83" s="1"/>
      <c r="G83" s="1"/>
      <c r="H83" s="1"/>
      <c r="I83" s="1"/>
      <c r="J83" s="1"/>
      <c r="K83" s="1"/>
    </row>
    <row r="84" ht="14.25" customHeight="1">
      <c r="A84" s="1"/>
      <c r="B84" s="1"/>
      <c r="C84" s="1"/>
      <c r="D84" s="1"/>
      <c r="E84" s="1"/>
      <c r="F84" s="1"/>
      <c r="G84" s="1"/>
      <c r="H84" s="1"/>
      <c r="I84" s="1"/>
      <c r="J84" s="1"/>
      <c r="K84" s="1"/>
    </row>
    <row r="85" ht="14.25" customHeight="1">
      <c r="A85" s="1"/>
      <c r="B85" s="1"/>
      <c r="C85" s="1"/>
      <c r="D85" s="1"/>
      <c r="E85" s="1"/>
      <c r="F85" s="1"/>
      <c r="G85" s="1"/>
      <c r="H85" s="1"/>
      <c r="I85" s="1"/>
      <c r="J85" s="1"/>
      <c r="K85" s="1"/>
    </row>
    <row r="86" ht="14.25" customHeight="1">
      <c r="A86" s="1"/>
      <c r="B86" s="1"/>
      <c r="C86" s="1"/>
      <c r="D86" s="1"/>
      <c r="E86" s="1"/>
      <c r="F86" s="1"/>
      <c r="G86" s="1"/>
      <c r="H86" s="1"/>
      <c r="I86" s="1"/>
      <c r="J86" s="1"/>
      <c r="K86" s="1"/>
    </row>
    <row r="87" ht="14.25" customHeight="1">
      <c r="A87" s="1"/>
      <c r="B87" s="1"/>
      <c r="C87" s="1"/>
      <c r="D87" s="1"/>
      <c r="E87" s="1"/>
      <c r="F87" s="1"/>
      <c r="G87" s="1"/>
      <c r="H87" s="1"/>
      <c r="I87" s="1"/>
      <c r="J87" s="1"/>
      <c r="K87" s="1"/>
    </row>
    <row r="88" ht="14.25" customHeight="1">
      <c r="A88" s="1"/>
      <c r="B88" s="1"/>
      <c r="C88" s="1"/>
      <c r="D88" s="1"/>
      <c r="E88" s="1"/>
      <c r="F88" s="1"/>
      <c r="G88" s="1"/>
      <c r="H88" s="1"/>
      <c r="I88" s="1"/>
      <c r="J88" s="1"/>
      <c r="K88" s="1"/>
    </row>
    <row r="89" ht="14.25" customHeight="1">
      <c r="A89" s="1"/>
      <c r="B89" s="1"/>
      <c r="C89" s="1"/>
      <c r="D89" s="1"/>
      <c r="E89" s="1"/>
      <c r="F89" s="1"/>
      <c r="G89" s="1"/>
      <c r="H89" s="1"/>
      <c r="I89" s="1"/>
      <c r="J89" s="1"/>
      <c r="K89" s="1"/>
    </row>
    <row r="90" ht="14.25" customHeight="1">
      <c r="A90" s="1"/>
      <c r="B90" s="1"/>
      <c r="C90" s="1"/>
      <c r="D90" s="1"/>
      <c r="E90" s="1"/>
      <c r="F90" s="1"/>
      <c r="G90" s="1"/>
      <c r="H90" s="1"/>
      <c r="I90" s="1"/>
      <c r="J90" s="1"/>
      <c r="K90" s="1"/>
    </row>
    <row r="91" ht="14.25" customHeight="1">
      <c r="A91" s="1"/>
      <c r="B91" s="1"/>
      <c r="C91" s="1"/>
      <c r="D91" s="1"/>
      <c r="E91" s="1"/>
      <c r="F91" s="1"/>
      <c r="G91" s="1"/>
      <c r="H91" s="1"/>
      <c r="I91" s="1"/>
      <c r="J91" s="1"/>
      <c r="K91" s="1"/>
    </row>
    <row r="92" ht="14.25" customHeight="1">
      <c r="A92" s="1"/>
      <c r="B92" s="1"/>
      <c r="C92" s="1"/>
      <c r="D92" s="1"/>
      <c r="E92" s="1"/>
      <c r="F92" s="1"/>
      <c r="G92" s="1"/>
      <c r="H92" s="1"/>
      <c r="I92" s="1"/>
      <c r="J92" s="1"/>
      <c r="K92" s="1"/>
    </row>
    <row r="93" ht="14.25" customHeight="1">
      <c r="A93" s="1"/>
      <c r="B93" s="1"/>
      <c r="C93" s="1"/>
      <c r="D93" s="1"/>
      <c r="E93" s="1"/>
      <c r="F93" s="1"/>
      <c r="G93" s="1"/>
      <c r="H93" s="1"/>
      <c r="I93" s="1"/>
      <c r="J93" s="1"/>
      <c r="K93" s="1"/>
    </row>
    <row r="94" ht="14.25" customHeight="1">
      <c r="A94" s="1"/>
      <c r="B94" s="1"/>
      <c r="C94" s="1"/>
      <c r="D94" s="1"/>
      <c r="E94" s="1"/>
      <c r="F94" s="1"/>
      <c r="G94" s="1"/>
      <c r="H94" s="1"/>
      <c r="I94" s="1"/>
      <c r="J94" s="1"/>
      <c r="K94" s="1"/>
    </row>
    <row r="95" ht="14.25" customHeight="1">
      <c r="A95" s="1"/>
      <c r="B95" s="1"/>
      <c r="C95" s="1"/>
      <c r="D95" s="1"/>
      <c r="E95" s="1"/>
      <c r="F95" s="1"/>
      <c r="G95" s="1"/>
      <c r="H95" s="1"/>
      <c r="I95" s="1"/>
      <c r="J95" s="1"/>
      <c r="K95" s="1"/>
    </row>
    <row r="96" ht="14.25" customHeight="1">
      <c r="A96" s="1"/>
      <c r="B96" s="1"/>
      <c r="C96" s="1"/>
      <c r="D96" s="1"/>
      <c r="E96" s="1"/>
      <c r="F96" s="1"/>
      <c r="G96" s="1"/>
      <c r="H96" s="1"/>
      <c r="I96" s="1"/>
      <c r="J96" s="1"/>
      <c r="K96" s="1"/>
    </row>
    <row r="97" ht="14.25" customHeight="1">
      <c r="A97" s="1"/>
      <c r="B97" s="1"/>
      <c r="C97" s="1"/>
      <c r="D97" s="1"/>
      <c r="E97" s="1"/>
      <c r="F97" s="1"/>
      <c r="G97" s="1"/>
      <c r="H97" s="1"/>
      <c r="I97" s="1"/>
      <c r="J97" s="1"/>
      <c r="K97" s="1"/>
    </row>
    <row r="98" ht="14.25" customHeight="1">
      <c r="A98" s="1"/>
      <c r="B98" s="1"/>
      <c r="C98" s="1"/>
      <c r="D98" s="1"/>
      <c r="E98" s="1"/>
      <c r="F98" s="1"/>
      <c r="G98" s="1"/>
      <c r="H98" s="1"/>
      <c r="I98" s="1"/>
      <c r="J98" s="1"/>
      <c r="K98" s="1"/>
    </row>
    <row r="99" ht="14.25" customHeight="1">
      <c r="A99" s="1"/>
      <c r="B99" s="1"/>
      <c r="C99" s="1"/>
      <c r="D99" s="1"/>
      <c r="E99" s="1"/>
      <c r="F99" s="1"/>
      <c r="G99" s="1"/>
      <c r="H99" s="1"/>
      <c r="I99" s="1"/>
      <c r="J99" s="1"/>
      <c r="K99" s="1"/>
    </row>
    <row r="100" ht="14.25" customHeight="1">
      <c r="A100" s="1"/>
      <c r="B100" s="1"/>
      <c r="C100" s="1"/>
      <c r="D100" s="1"/>
      <c r="E100" s="1"/>
      <c r="F100" s="1"/>
      <c r="G100" s="1"/>
      <c r="H100" s="1"/>
      <c r="I100" s="1"/>
      <c r="J100" s="1"/>
      <c r="K100" s="1"/>
    </row>
  </sheetData>
  <mergeCells count="14">
    <mergeCell ref="B13:E13"/>
    <mergeCell ref="B12:E12"/>
    <mergeCell ref="A6:E6"/>
    <mergeCell ref="A2:E2"/>
    <mergeCell ref="A3:E3"/>
    <mergeCell ref="A4:E4"/>
    <mergeCell ref="A5:E5"/>
    <mergeCell ref="A14:E14"/>
    <mergeCell ref="A15:E15"/>
    <mergeCell ref="C22:C27"/>
    <mergeCell ref="A7:E7"/>
    <mergeCell ref="A8:E8"/>
    <mergeCell ref="A9:E9"/>
    <mergeCell ref="A10:E10"/>
  </mergeCells>
  <printOptions/>
  <pageMargins bottom="0.75" footer="0.0" header="0.0" left="0.7" right="0.7" top="0.75"/>
  <pageSetup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57"/>
    <col customWidth="1" min="2" max="2" width="35.71"/>
    <col customWidth="1" min="3" max="3" width="15.57"/>
    <col customWidth="1" min="4" max="4" width="15.71"/>
    <col customWidth="1" min="5" max="5" width="14.57"/>
    <col customWidth="1" min="6" max="6" width="14.71"/>
    <col customWidth="1" min="7" max="7" width="18.86"/>
    <col customWidth="1" min="8" max="9" width="14.86"/>
    <col customWidth="1" min="10" max="11" width="8.71"/>
  </cols>
  <sheetData>
    <row r="1" ht="14.25" customHeight="1">
      <c r="A1" s="120"/>
    </row>
    <row r="2" ht="14.25" customHeight="1">
      <c r="A2" s="25" t="s">
        <v>459</v>
      </c>
      <c r="J2" s="119"/>
    </row>
    <row r="3" ht="14.25" customHeight="1"/>
    <row r="4" ht="14.25" customHeight="1">
      <c r="A4" s="261" t="s">
        <v>460</v>
      </c>
      <c r="B4" s="261" t="s">
        <v>190</v>
      </c>
      <c r="C4" s="125" t="s">
        <v>193</v>
      </c>
      <c r="D4" s="125" t="s">
        <v>194</v>
      </c>
      <c r="E4" s="125" t="s">
        <v>195</v>
      </c>
      <c r="F4" s="125" t="s">
        <v>196</v>
      </c>
      <c r="G4" s="125" t="s">
        <v>197</v>
      </c>
      <c r="H4" s="125" t="s">
        <v>198</v>
      </c>
      <c r="I4" s="125" t="s">
        <v>199</v>
      </c>
    </row>
    <row r="5" ht="14.25" customHeight="1">
      <c r="A5" s="262">
        <v>1.0</v>
      </c>
      <c r="B5" s="262" t="s">
        <v>461</v>
      </c>
      <c r="C5" s="263"/>
      <c r="D5" s="263"/>
      <c r="E5" s="263"/>
      <c r="F5" s="263"/>
      <c r="G5" s="263"/>
      <c r="H5" s="263"/>
      <c r="I5" s="263"/>
    </row>
    <row r="6" ht="14.25" customHeight="1">
      <c r="A6" s="262"/>
      <c r="B6" s="264" t="s">
        <v>462</v>
      </c>
      <c r="C6" s="263" t="str">
        <f>'6.Cons Profit &amp; Loss'!B15</f>
        <v>  20,616,425 </v>
      </c>
      <c r="D6" s="263" t="str">
        <f>'6.Cons Profit &amp; Loss'!C15</f>
        <v>  24,911,745 </v>
      </c>
      <c r="E6" s="263" t="str">
        <f>'6.Cons Profit &amp; Loss'!D15</f>
        <v>  29,352,390 </v>
      </c>
      <c r="F6" s="263" t="str">
        <f>'6.Cons Profit &amp; Loss'!E15</f>
        <v>  34,174,820 </v>
      </c>
      <c r="G6" s="263" t="str">
        <f>'6.Cons Profit &amp; Loss'!F15</f>
        <v>  39,406,111 </v>
      </c>
      <c r="H6" s="263" t="str">
        <f>'6.Cons Profit &amp; Loss'!G15</f>
        <v>  44,893,149 </v>
      </c>
      <c r="I6" s="263" t="str">
        <f>'6.Cons Profit &amp; Loss'!H15</f>
        <v>  50,830,374 </v>
      </c>
    </row>
    <row r="7" ht="14.25" customHeight="1">
      <c r="A7" s="262">
        <v>2.0</v>
      </c>
      <c r="B7" s="262" t="s">
        <v>463</v>
      </c>
      <c r="C7" s="263" t="str">
        <f>'1.Project Cost and MOF'!E21</f>
        <v>  3,406,213 </v>
      </c>
      <c r="D7" s="263"/>
      <c r="E7" s="263"/>
      <c r="F7" s="263"/>
      <c r="G7" s="263"/>
      <c r="H7" s="263"/>
      <c r="I7" s="263"/>
    </row>
    <row r="8" ht="14.25" customHeight="1">
      <c r="A8" s="262"/>
      <c r="B8" s="262" t="s">
        <v>464</v>
      </c>
      <c r="C8" s="263"/>
      <c r="D8" s="263"/>
      <c r="E8" s="263"/>
      <c r="F8" s="263"/>
      <c r="G8" s="263"/>
      <c r="H8" s="263"/>
      <c r="I8" s="263"/>
    </row>
    <row r="9" ht="14.25" customHeight="1">
      <c r="A9" s="262">
        <v>3.0</v>
      </c>
      <c r="B9" s="262" t="s">
        <v>465</v>
      </c>
      <c r="C9" s="263" t="str">
        <f>'1.Project Cost and MOF'!E19</f>
        <v>  19,287,933 </v>
      </c>
      <c r="D9" s="263"/>
      <c r="E9" s="263"/>
      <c r="F9" s="263"/>
      <c r="G9" s="263"/>
      <c r="H9" s="263"/>
      <c r="I9" s="263"/>
    </row>
    <row r="10" ht="14.25" customHeight="1">
      <c r="A10" s="262">
        <v>4.0</v>
      </c>
      <c r="B10" s="262" t="s">
        <v>466</v>
      </c>
      <c r="C10" s="263" t="str">
        <f>'1.Project Cost and MOF'!E20</f>
        <v>  9,643,967 </v>
      </c>
      <c r="D10" s="263"/>
      <c r="E10" s="263"/>
      <c r="F10" s="263"/>
      <c r="G10" s="263"/>
      <c r="H10" s="263"/>
      <c r="I10" s="263"/>
    </row>
    <row r="11" ht="14.25" customHeight="1">
      <c r="A11" s="262">
        <v>5.0</v>
      </c>
      <c r="B11" s="262" t="s">
        <v>467</v>
      </c>
      <c r="C11" s="263" t="str">
        <f>'7.Balance Sheet'!B24</f>
        <v>  574,673 </v>
      </c>
      <c r="D11" s="263" t="str">
        <f>'7.Balance Sheet'!C24-'7.Balance Sheet'!B24</f>
        <v>  356,622 </v>
      </c>
      <c r="E11" s="263" t="str">
        <f>'7.Balance Sheet'!D24-'7.Balance Sheet'!C24</f>
        <v>  170,731 </v>
      </c>
      <c r="F11" s="263" t="str">
        <f>'7.Balance Sheet'!E24-'7.Balance Sheet'!D24</f>
        <v>  185,475 </v>
      </c>
      <c r="G11" s="263" t="str">
        <f>'7.Balance Sheet'!F24-'7.Balance Sheet'!E24</f>
        <v>  201,268 </v>
      </c>
      <c r="H11" s="263" t="str">
        <f>'7.Balance Sheet'!G24-'7.Balance Sheet'!F24</f>
        <v>  211,488 </v>
      </c>
      <c r="I11" s="263" t="str">
        <f>'7.Balance Sheet'!H24-'7.Balance Sheet'!G24</f>
        <v>  228,915 </v>
      </c>
    </row>
    <row r="12" ht="14.25" customHeight="1">
      <c r="A12" s="262">
        <v>6.0</v>
      </c>
      <c r="B12" s="262" t="s">
        <v>468</v>
      </c>
      <c r="C12" s="263" t="str">
        <f>'7.Balance Sheet'!B25</f>
        <v>  271,769 </v>
      </c>
      <c r="D12" s="263" t="str">
        <f>'7.Balance Sheet'!C25-'7.Balance Sheet'!B25</f>
        <v>  55,315 </v>
      </c>
      <c r="E12" s="263" t="str">
        <f>'7.Balance Sheet'!D25-'7.Balance Sheet'!C25</f>
        <v>  60,167 </v>
      </c>
      <c r="F12" s="263" t="str">
        <f>'7.Balance Sheet'!E25-'7.Balance Sheet'!D25</f>
        <v>  65,367 </v>
      </c>
      <c r="G12" s="263" t="str">
        <f>'7.Balance Sheet'!F25-'7.Balance Sheet'!E25</f>
        <v>  70,935 </v>
      </c>
      <c r="H12" s="263" t="str">
        <f>'7.Balance Sheet'!G25-'7.Balance Sheet'!F25</f>
        <v>  76,606 </v>
      </c>
      <c r="I12" s="263" t="str">
        <f>'7.Balance Sheet'!H25-'7.Balance Sheet'!G25</f>
        <v>  82,958 </v>
      </c>
    </row>
    <row r="13" ht="14.25" customHeight="1">
      <c r="A13" s="262"/>
      <c r="B13" s="262" t="s">
        <v>469</v>
      </c>
      <c r="C13" s="265" t="str">
        <f>C6+C7+C9+C10+C11+C12</f>
        <v>  53,800,980 </v>
      </c>
      <c r="D13" s="265" t="str">
        <f t="shared" ref="D13:I13" si="1">SUM(D6:D12)</f>
        <v>  25,323,682 </v>
      </c>
      <c r="E13" s="265" t="str">
        <f t="shared" si="1"/>
        <v>  29,583,288 </v>
      </c>
      <c r="F13" s="265" t="str">
        <f t="shared" si="1"/>
        <v>  34,425,662 </v>
      </c>
      <c r="G13" s="265" t="str">
        <f t="shared" si="1"/>
        <v>  39,678,314 </v>
      </c>
      <c r="H13" s="265" t="str">
        <f t="shared" si="1"/>
        <v>  45,181,243 </v>
      </c>
      <c r="I13" s="265" t="str">
        <f t="shared" si="1"/>
        <v>  51,142,247 </v>
      </c>
    </row>
    <row r="14" ht="14.25" customHeight="1">
      <c r="A14" s="266" t="s">
        <v>470</v>
      </c>
      <c r="B14" s="6"/>
      <c r="C14" s="267"/>
      <c r="D14" s="267"/>
      <c r="E14" s="267"/>
      <c r="F14" s="267"/>
      <c r="G14" s="267"/>
      <c r="H14" s="267"/>
      <c r="I14" s="267"/>
    </row>
    <row r="15" ht="14.25" customHeight="1">
      <c r="A15" s="262">
        <v>1.0</v>
      </c>
      <c r="B15" s="262" t="s">
        <v>471</v>
      </c>
      <c r="C15" s="267"/>
      <c r="D15" s="267"/>
      <c r="E15" s="267"/>
      <c r="F15" s="267"/>
      <c r="G15" s="267"/>
      <c r="H15" s="267"/>
      <c r="I15" s="267"/>
    </row>
    <row r="16" ht="14.25" customHeight="1">
      <c r="A16" s="268" t="s">
        <v>472</v>
      </c>
      <c r="B16" s="267" t="str">
        <f t="shared" ref="B16:B17" si="2">'[5]Total Cost of Project'!C3</f>
        <v>#REF!</v>
      </c>
      <c r="C16" s="269" t="str">
        <f>'1.Project Cost and MOF'!D5</f>
        <v>  24,802,276 </v>
      </c>
      <c r="D16" s="269"/>
      <c r="E16" s="269"/>
      <c r="F16" s="269"/>
      <c r="G16" s="269"/>
      <c r="H16" s="269"/>
      <c r="I16" s="269"/>
    </row>
    <row r="17" ht="14.25" customHeight="1">
      <c r="A17" s="268" t="s">
        <v>473</v>
      </c>
      <c r="B17" s="84" t="str">
        <f t="shared" si="2"/>
        <v>#REF!</v>
      </c>
      <c r="C17" s="269" t="str">
        <f>'1.Project Cost and MOF'!D6</f>
        <v>  6,595,634 </v>
      </c>
      <c r="D17" s="269"/>
      <c r="E17" s="269"/>
      <c r="F17" s="269"/>
      <c r="G17" s="269"/>
      <c r="H17" s="269"/>
      <c r="I17" s="269"/>
    </row>
    <row r="18" ht="14.25" customHeight="1">
      <c r="A18" s="268" t="s">
        <v>474</v>
      </c>
      <c r="B18" s="84" t="s">
        <v>260</v>
      </c>
      <c r="C18" s="269" t="str">
        <f>'1.Project Cost and MOF'!D7</f>
        <v>  -   </v>
      </c>
      <c r="D18" s="269"/>
      <c r="E18" s="269"/>
      <c r="F18" s="269"/>
      <c r="G18" s="269"/>
      <c r="H18" s="269"/>
      <c r="I18" s="269"/>
    </row>
    <row r="19" ht="14.25" customHeight="1">
      <c r="A19" s="268" t="s">
        <v>475</v>
      </c>
      <c r="B19" s="84" t="s">
        <v>476</v>
      </c>
      <c r="C19" s="269" t="str">
        <f>'1.Project Cost and MOF'!D8</f>
        <v>  -   </v>
      </c>
      <c r="D19" s="269"/>
      <c r="E19" s="269"/>
      <c r="F19" s="269"/>
      <c r="G19" s="269"/>
      <c r="H19" s="269"/>
      <c r="I19" s="269"/>
    </row>
    <row r="20" ht="14.25" customHeight="1">
      <c r="A20" s="268" t="s">
        <v>477</v>
      </c>
      <c r="B20" s="84" t="s">
        <v>180</v>
      </c>
      <c r="C20" s="269" t="str">
        <f>'1.Project Cost and MOF'!D9</f>
        <v/>
      </c>
      <c r="D20" s="263"/>
      <c r="E20" s="263"/>
      <c r="F20" s="263"/>
      <c r="G20" s="263"/>
      <c r="H20" s="263"/>
      <c r="I20" s="263"/>
    </row>
    <row r="21" ht="14.25" customHeight="1">
      <c r="A21" s="268" t="s">
        <v>478</v>
      </c>
      <c r="B21" s="84" t="s">
        <v>479</v>
      </c>
      <c r="C21" s="269" t="str">
        <f>'1.Project Cost and MOF'!D10</f>
        <v>  748,646 </v>
      </c>
      <c r="D21" s="263"/>
      <c r="E21" s="263"/>
      <c r="F21" s="263"/>
      <c r="G21" s="263"/>
      <c r="H21" s="263"/>
      <c r="I21" s="263"/>
    </row>
    <row r="22" ht="14.25" customHeight="1">
      <c r="A22" s="262">
        <v>2.0</v>
      </c>
      <c r="B22" s="262" t="s">
        <v>480</v>
      </c>
      <c r="C22" s="267"/>
      <c r="D22" s="267"/>
      <c r="E22" s="267"/>
      <c r="F22" s="267"/>
      <c r="G22" s="267"/>
      <c r="H22" s="267"/>
      <c r="I22" s="267"/>
    </row>
    <row r="23" ht="14.25" customHeight="1">
      <c r="A23" s="268" t="s">
        <v>472</v>
      </c>
      <c r="B23" s="267" t="s">
        <v>412</v>
      </c>
      <c r="C23" s="263" t="str">
        <f>'6.Cons Profit &amp; Loss'!B25</f>
        <v>  13,923,572 </v>
      </c>
      <c r="D23" s="263" t="str">
        <f>'6.Cons Profit &amp; Loss'!C25</f>
        <v>  16,999,480 </v>
      </c>
      <c r="E23" s="263" t="str">
        <f>'6.Cons Profit &amp; Loss'!D25</f>
        <v>  20,131,840 </v>
      </c>
      <c r="F23" s="263" t="str">
        <f>'6.Cons Profit &amp; Loss'!E25</f>
        <v>  23,534,939 </v>
      </c>
      <c r="G23" s="263" t="str">
        <f>'6.Cons Profit &amp; Loss'!F25</f>
        <v>  27,228,017 </v>
      </c>
      <c r="H23" s="263" t="str">
        <f>'6.Cons Profit &amp; Loss'!G25</f>
        <v>  31,216,403 </v>
      </c>
      <c r="I23" s="263" t="str">
        <f>'6.Cons Profit &amp; Loss'!H25</f>
        <v>  35,535,558 </v>
      </c>
    </row>
    <row r="24" ht="14.25" customHeight="1">
      <c r="A24" s="268" t="s">
        <v>473</v>
      </c>
      <c r="B24" s="267" t="s">
        <v>414</v>
      </c>
      <c r="C24" s="263" t="str">
        <f>'6.Cons Profit &amp; Loss'!B36</f>
        <v>  1,204,000 </v>
      </c>
      <c r="D24" s="263" t="str">
        <f>'6.Cons Profit &amp; Loss'!C36</f>
        <v>  1,264,200 </v>
      </c>
      <c r="E24" s="263" t="str">
        <f>'6.Cons Profit &amp; Loss'!D36</f>
        <v>  1,327,410 </v>
      </c>
      <c r="F24" s="263" t="str">
        <f>'6.Cons Profit &amp; Loss'!E36</f>
        <v>  1,393,781 </v>
      </c>
      <c r="G24" s="263" t="str">
        <f>'6.Cons Profit &amp; Loss'!F36</f>
        <v>  1,463,470 </v>
      </c>
      <c r="H24" s="263" t="str">
        <f>'6.Cons Profit &amp; Loss'!G36</f>
        <v>  1,536,643 </v>
      </c>
      <c r="I24" s="263" t="str">
        <f>'6.Cons Profit &amp; Loss'!H36</f>
        <v>  1,613,475 </v>
      </c>
    </row>
    <row r="25" ht="14.25" customHeight="1">
      <c r="A25" s="270">
        <v>3.0</v>
      </c>
      <c r="B25" s="262" t="s">
        <v>481</v>
      </c>
      <c r="C25" s="263"/>
      <c r="D25" s="263"/>
      <c r="E25" s="263"/>
      <c r="F25" s="263"/>
      <c r="G25" s="263"/>
      <c r="H25" s="263"/>
      <c r="I25" s="263"/>
    </row>
    <row r="26" ht="14.25" customHeight="1">
      <c r="A26" s="268"/>
      <c r="B26" s="267" t="s">
        <v>482</v>
      </c>
      <c r="C26" s="263" t="str">
        <f>SUM('4.TL repayment sch'!E10:E21)</f>
        <v>  833,975 </v>
      </c>
      <c r="D26" s="263" t="str">
        <f>SUM('4.TL repayment sch'!E22:E33)</f>
        <v>  1,825,024 </v>
      </c>
      <c r="E26" s="263" t="str">
        <f>SUM('4.TL repayment sch'!E34:E45)</f>
        <v>  2,056,483 </v>
      </c>
      <c r="F26" s="263" t="str">
        <f>SUM('4.TL repayment sch'!E46:E57)</f>
        <v>  2,317,297 </v>
      </c>
      <c r="G26" s="263" t="str">
        <f>SUM('4.TL repayment sch'!E58:E69)</f>
        <v>  2,611,188 </v>
      </c>
      <c r="H26" s="263" t="str">
        <f>SUM('4.TL repayment sch'!E70:E81)</f>
        <v>  -   </v>
      </c>
      <c r="I26" s="263" t="str">
        <f>SUM('4.TL repayment sch'!E82:E93)</f>
        <v>  -   </v>
      </c>
    </row>
    <row r="27" ht="14.25" customHeight="1">
      <c r="A27" s="268"/>
      <c r="B27" s="267" t="s">
        <v>483</v>
      </c>
      <c r="C27" s="263" t="str">
        <f>SUM('4.TL repayment sch'!D10:D21)</f>
        <v>  1,136,669 </v>
      </c>
      <c r="D27" s="263" t="str">
        <f>SUM('4.TL repayment sch'!D22:D33)</f>
        <v>  958,986 </v>
      </c>
      <c r="E27" s="263" t="str">
        <f>SUM('4.TL repayment sch'!D34:D45)</f>
        <v>  727,527 </v>
      </c>
      <c r="F27" s="263" t="str">
        <f>SUM('4.TL repayment sch'!D46:D57)</f>
        <v>  466,714 </v>
      </c>
      <c r="G27" s="263" t="str">
        <f>SUM('4.TL repayment sch'!D58:D69)</f>
        <v>  172,823 </v>
      </c>
      <c r="H27" s="263" t="str">
        <f>SUM('4.TL repayment sch'!D70:D81)</f>
        <v>  -   </v>
      </c>
      <c r="I27" s="263" t="str">
        <f>SUM('4.TL repayment sch'!D82:D93)</f>
        <v>  -   </v>
      </c>
    </row>
    <row r="28" ht="14.25" customHeight="1">
      <c r="A28" s="268"/>
      <c r="B28" s="267" t="s">
        <v>484</v>
      </c>
      <c r="C28" s="263"/>
      <c r="D28" s="263"/>
      <c r="E28" s="263"/>
      <c r="F28" s="263"/>
      <c r="G28" s="263"/>
      <c r="H28" s="263"/>
      <c r="I28" s="263"/>
    </row>
    <row r="29" ht="14.25" customHeight="1">
      <c r="A29" s="268"/>
      <c r="B29" s="267" t="s">
        <v>485</v>
      </c>
      <c r="C29" s="271" t="str">
        <f>'7.Balance Sheet'!B24*12%</f>
        <v>  68,961 </v>
      </c>
      <c r="D29" s="271" t="str">
        <f>'7.Balance Sheet'!C24*12%</f>
        <v>  111,755 </v>
      </c>
      <c r="E29" s="271" t="str">
        <f>'7.Balance Sheet'!D24*12%</f>
        <v>  132,243 </v>
      </c>
      <c r="F29" s="271" t="str">
        <f>'7.Balance Sheet'!E24*12%</f>
        <v>  154,500 </v>
      </c>
      <c r="G29" s="271" t="str">
        <f>'7.Balance Sheet'!F24*12%</f>
        <v>  178,652 </v>
      </c>
      <c r="H29" s="271" t="str">
        <f>'7.Balance Sheet'!G24*12%</f>
        <v>  204,031 </v>
      </c>
      <c r="I29" s="271" t="str">
        <f>'7.Balance Sheet'!H24*12%</f>
        <v>  231,501 </v>
      </c>
    </row>
    <row r="30" ht="14.25" customHeight="1">
      <c r="A30" s="262">
        <v>4.0</v>
      </c>
      <c r="B30" s="262" t="s">
        <v>486</v>
      </c>
      <c r="C30" s="263" t="str">
        <f>'6.Cons Profit &amp; Loss'!B50</f>
        <v>  172,620 </v>
      </c>
      <c r="D30" s="263" t="str">
        <f>'6.Cons Profit &amp; Loss'!C50</f>
        <v>  612,156 </v>
      </c>
      <c r="E30" s="263" t="str">
        <f>'6.Cons Profit &amp; Loss'!D50</f>
        <v>  1,081,562 </v>
      </c>
      <c r="F30" s="263" t="str">
        <f>'6.Cons Profit &amp; Loss'!E50</f>
        <v>  1,575,467 </v>
      </c>
      <c r="G30" s="263" t="str">
        <f>'6.Cons Profit &amp; Loss'!F50</f>
        <v>  2,098,122 </v>
      </c>
      <c r="H30" s="263" t="str">
        <f>'6.Cons Profit &amp; Loss'!G50</f>
        <v>  2,608,462 </v>
      </c>
      <c r="I30" s="263" t="str">
        <f>'6.Cons Profit &amp; Loss'!H50</f>
        <v>  3,057,240 </v>
      </c>
    </row>
    <row r="31" ht="14.25" customHeight="1">
      <c r="A31" s="262">
        <v>5.0</v>
      </c>
      <c r="B31" s="262" t="s">
        <v>487</v>
      </c>
      <c r="C31" s="263" t="str">
        <f>'7.Balance Sheet'!B9</f>
        <v>  790,767 </v>
      </c>
      <c r="D31" s="263" t="str">
        <f>'7.Balance Sheet'!C9-'7.Balance Sheet'!B9</f>
        <v>  164,752 </v>
      </c>
      <c r="E31" s="263" t="str">
        <f>'7.Balance Sheet'!D9-'7.Balance Sheet'!C9</f>
        <v>  170,326 </v>
      </c>
      <c r="F31" s="263" t="str">
        <f>'7.Balance Sheet'!E9-'7.Balance Sheet'!D9</f>
        <v>  184,970 </v>
      </c>
      <c r="G31" s="263" t="str">
        <f>'7.Balance Sheet'!F9-'7.Balance Sheet'!E9</f>
        <v>  200,652 </v>
      </c>
      <c r="H31" s="263" t="str">
        <f>'7.Balance Sheet'!G9-'7.Balance Sheet'!F9</f>
        <v>  210,462 </v>
      </c>
      <c r="I31" s="263" t="str">
        <f>'7.Balance Sheet'!H9-'7.Balance Sheet'!G9</f>
        <v>  227,729 </v>
      </c>
    </row>
    <row r="32" ht="14.25" customHeight="1">
      <c r="A32" s="262">
        <v>6.0</v>
      </c>
      <c r="B32" s="262" t="s">
        <v>488</v>
      </c>
      <c r="C32" s="263" t="str">
        <f>'7.Balance Sheet'!B10</f>
        <v>  247,233 </v>
      </c>
      <c r="D32" s="263" t="str">
        <f>'7.Balance Sheet'!C10-'7.Balance Sheet'!B10</f>
        <v>  55,627 </v>
      </c>
      <c r="E32" s="263" t="str">
        <f>'7.Balance Sheet'!D10-'7.Balance Sheet'!C10</f>
        <v>  60,572 </v>
      </c>
      <c r="F32" s="263" t="str">
        <f>'7.Balance Sheet'!E10-'7.Balance Sheet'!D10</f>
        <v>  65,872 </v>
      </c>
      <c r="G32" s="263" t="str">
        <f>'7.Balance Sheet'!F10-'7.Balance Sheet'!E10</f>
        <v>  71,551 </v>
      </c>
      <c r="H32" s="263" t="str">
        <f>'7.Balance Sheet'!G10-'7.Balance Sheet'!F10</f>
        <v>  77,633 </v>
      </c>
      <c r="I32" s="263" t="str">
        <f>'7.Balance Sheet'!H10-'7.Balance Sheet'!G10</f>
        <v>  84,144 </v>
      </c>
    </row>
    <row r="33" ht="14.25" customHeight="1">
      <c r="A33" s="262"/>
      <c r="B33" s="262" t="s">
        <v>489</v>
      </c>
      <c r="C33" s="265" t="str">
        <f t="shared" ref="C33:I33" si="3">SUM(C16:C32)</f>
        <v>  50,524,351 </v>
      </c>
      <c r="D33" s="265" t="str">
        <f t="shared" si="3"/>
        <v>  21,991,981 </v>
      </c>
      <c r="E33" s="265" t="str">
        <f t="shared" si="3"/>
        <v>  25,687,964 </v>
      </c>
      <c r="F33" s="265" t="str">
        <f t="shared" si="3"/>
        <v>  29,693,539 </v>
      </c>
      <c r="G33" s="265" t="str">
        <f t="shared" si="3"/>
        <v>  34,024,474 </v>
      </c>
      <c r="H33" s="265" t="str">
        <f t="shared" si="3"/>
        <v>  35,853,633 </v>
      </c>
      <c r="I33" s="265" t="str">
        <f t="shared" si="3"/>
        <v>  40,749,647 </v>
      </c>
    </row>
    <row r="34" ht="14.25" customHeight="1">
      <c r="A34" s="262"/>
      <c r="B34" s="262" t="s">
        <v>490</v>
      </c>
      <c r="C34" s="265" t="str">
        <f t="shared" ref="C34:I34" si="4">C13-C33</f>
        <v>  3,276,629 </v>
      </c>
      <c r="D34" s="265" t="str">
        <f t="shared" si="4"/>
        <v>  3,331,701 </v>
      </c>
      <c r="E34" s="265" t="str">
        <f t="shared" si="4"/>
        <v>  3,895,324 </v>
      </c>
      <c r="F34" s="265" t="str">
        <f t="shared" si="4"/>
        <v>  4,732,123 </v>
      </c>
      <c r="G34" s="265" t="str">
        <f t="shared" si="4"/>
        <v>  5,653,840 </v>
      </c>
      <c r="H34" s="265" t="str">
        <f t="shared" si="4"/>
        <v>  9,327,610 </v>
      </c>
      <c r="I34" s="265" t="str">
        <f t="shared" si="4"/>
        <v>  10,392,600 </v>
      </c>
    </row>
    <row r="35" ht="14.25" customHeight="1">
      <c r="A35" s="270"/>
      <c r="B35" s="267" t="s">
        <v>491</v>
      </c>
      <c r="C35" s="267"/>
      <c r="D35" s="263" t="str">
        <f t="shared" ref="D35:I35" si="5">C36</f>
        <v>  3,276,629 </v>
      </c>
      <c r="E35" s="263" t="str">
        <f t="shared" si="5"/>
        <v>  6,608,330 </v>
      </c>
      <c r="F35" s="263" t="str">
        <f t="shared" si="5"/>
        <v>  10,503,654 </v>
      </c>
      <c r="G35" s="263" t="str">
        <f t="shared" si="5"/>
        <v>  15,235,777 </v>
      </c>
      <c r="H35" s="263" t="str">
        <f t="shared" si="5"/>
        <v>  20,889,617 </v>
      </c>
      <c r="I35" s="263" t="str">
        <f t="shared" si="5"/>
        <v>  30,217,227 </v>
      </c>
    </row>
    <row r="36" ht="14.25" customHeight="1">
      <c r="A36" s="262"/>
      <c r="B36" s="272" t="s">
        <v>492</v>
      </c>
      <c r="C36" s="265" t="str">
        <f t="shared" ref="C36:I36" si="6">C34+C35</f>
        <v>  3,276,629 </v>
      </c>
      <c r="D36" s="265" t="str">
        <f t="shared" si="6"/>
        <v>  6,608,330 </v>
      </c>
      <c r="E36" s="265" t="str">
        <f t="shared" si="6"/>
        <v>  10,503,654 </v>
      </c>
      <c r="F36" s="265" t="str">
        <f t="shared" si="6"/>
        <v>  15,235,777 </v>
      </c>
      <c r="G36" s="265" t="str">
        <f t="shared" si="6"/>
        <v>  20,889,617 </v>
      </c>
      <c r="H36" s="265" t="str">
        <f t="shared" si="6"/>
        <v>  30,217,227 </v>
      </c>
      <c r="I36" s="265" t="str">
        <f t="shared" si="6"/>
        <v>  40,609,828 </v>
      </c>
    </row>
    <row r="37" ht="14.25" customHeight="1"/>
    <row r="38" ht="39.75" customHeight="1">
      <c r="A38" s="273" t="s">
        <v>493</v>
      </c>
    </row>
    <row r="39" ht="14.25" customHeight="1"/>
    <row r="40" ht="14.25" customHeight="1">
      <c r="C40" s="44"/>
    </row>
    <row r="41" ht="14.25" customHeight="1">
      <c r="C41" s="44"/>
    </row>
    <row r="42" ht="14.25" customHeight="1">
      <c r="C42" s="44"/>
    </row>
    <row r="43" ht="14.25" customHeight="1">
      <c r="C43" s="44"/>
    </row>
    <row r="44" ht="14.25" customHeight="1">
      <c r="C44" s="44"/>
    </row>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sheetData>
  <mergeCells count="4">
    <mergeCell ref="A1:G1"/>
    <mergeCell ref="A14:B14"/>
    <mergeCell ref="A2:I2"/>
    <mergeCell ref="A38:J38"/>
  </mergeCells>
  <printOptions/>
  <pageMargins bottom="0.75" footer="0.0" header="0.0" left="0.7" right="0.7" top="0.75"/>
  <pageSetup scale="60" orientation="portrait"/>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32.71"/>
    <col customWidth="1" min="3" max="3" width="22.57"/>
    <col customWidth="1" min="4" max="5" width="15.86"/>
    <col customWidth="1" min="6" max="6" width="16.57"/>
    <col customWidth="1" min="7" max="9" width="15.86"/>
    <col customWidth="1" min="10" max="10" width="14.86"/>
    <col customWidth="1" min="11" max="11" width="14.43"/>
    <col customWidth="1" min="12" max="12" width="14.86"/>
    <col customWidth="1" min="13" max="18" width="11.86"/>
    <col customWidth="1" min="19" max="19" width="4.57"/>
  </cols>
  <sheetData>
    <row r="1" ht="14.25" customHeight="1"/>
    <row r="2" ht="14.25" customHeight="1"/>
    <row r="3" ht="14.25" customHeight="1"/>
    <row r="4" ht="14.25" customHeight="1"/>
    <row r="5" ht="14.25" customHeight="1">
      <c r="B5" s="274" t="s">
        <v>494</v>
      </c>
    </row>
    <row r="6" ht="14.25" customHeight="1">
      <c r="B6" s="275"/>
      <c r="C6" s="275"/>
      <c r="D6" s="275"/>
      <c r="E6" s="275"/>
      <c r="F6" s="275"/>
      <c r="G6" s="275"/>
      <c r="H6" s="275"/>
      <c r="I6" s="275"/>
      <c r="J6" s="275"/>
    </row>
    <row r="7" ht="14.25" customHeight="1">
      <c r="B7" s="276" t="s">
        <v>495</v>
      </c>
      <c r="C7" s="277" t="s">
        <v>496</v>
      </c>
      <c r="D7" s="277" t="s">
        <v>193</v>
      </c>
      <c r="E7" s="277" t="s">
        <v>194</v>
      </c>
      <c r="F7" s="277" t="s">
        <v>195</v>
      </c>
      <c r="G7" s="277" t="s">
        <v>196</v>
      </c>
      <c r="H7" s="277" t="s">
        <v>197</v>
      </c>
      <c r="I7" s="277" t="s">
        <v>198</v>
      </c>
      <c r="J7" s="277" t="s">
        <v>199</v>
      </c>
    </row>
    <row r="8" ht="14.25" customHeight="1">
      <c r="B8" s="155"/>
      <c r="C8" s="155"/>
      <c r="D8" s="155"/>
      <c r="E8" s="155"/>
      <c r="F8" s="155"/>
      <c r="G8" s="155"/>
      <c r="H8" s="155"/>
      <c r="I8" s="155"/>
      <c r="J8" s="155"/>
    </row>
    <row r="9" ht="14.25" customHeight="1">
      <c r="B9" s="155" t="s">
        <v>497</v>
      </c>
      <c r="C9" s="155"/>
      <c r="D9" s="278" t="str">
        <f>'6.Cons Profit &amp; Loss'!B51</f>
        <v>2,757,138.94</v>
      </c>
      <c r="E9" s="278" t="str">
        <f>'6.Cons Profit &amp; Loss'!C51</f>
        <v>3,611,702.87</v>
      </c>
      <c r="F9" s="278" t="str">
        <f>'6.Cons Profit &amp; Loss'!D51</f>
        <v>4,598,342.11</v>
      </c>
      <c r="G9" s="278" t="str">
        <f>'6.Cons Profit &amp; Loss'!E51</f>
        <v>5,695,954.33</v>
      </c>
      <c r="H9" s="278" t="str">
        <f>'6.Cons Profit &amp; Loss'!F51</f>
        <v>6,911,563.45</v>
      </c>
      <c r="I9" s="278" t="str">
        <f>'6.Cons Profit &amp; Loss'!G51</f>
        <v>8,123,874.23</v>
      </c>
      <c r="J9" s="278" t="str">
        <f>'6.Cons Profit &amp; Loss'!H51</f>
        <v>9,188,864.57</v>
      </c>
    </row>
    <row r="10" ht="14.25" customHeight="1">
      <c r="B10" s="155"/>
      <c r="C10" s="155"/>
      <c r="D10" s="278"/>
      <c r="E10" s="278"/>
      <c r="F10" s="278"/>
      <c r="G10" s="278"/>
      <c r="H10" s="278"/>
      <c r="I10" s="278"/>
      <c r="J10" s="278"/>
    </row>
    <row r="11" ht="14.25" customHeight="1">
      <c r="B11" s="158" t="s">
        <v>498</v>
      </c>
      <c r="C11" s="158"/>
      <c r="D11" s="278" t="str">
        <f>'6.Cons Profit &amp; Loss'!B42</f>
        <v>1,203,735.77</v>
      </c>
      <c r="E11" s="278" t="str">
        <f>'6.Cons Profit &amp; Loss'!C42</f>
        <v>1,203,735.77</v>
      </c>
      <c r="F11" s="278" t="str">
        <f>'6.Cons Profit &amp; Loss'!D42</f>
        <v>1,203,735.77</v>
      </c>
      <c r="G11" s="278" t="str">
        <f>'6.Cons Profit &amp; Loss'!E42</f>
        <v>1,203,735.77</v>
      </c>
      <c r="H11" s="278" t="str">
        <f>'6.Cons Profit &amp; Loss'!F42</f>
        <v>1,203,735.77</v>
      </c>
      <c r="I11" s="278" t="str">
        <f>'6.Cons Profit &amp; Loss'!G42</f>
        <v>1,203,735.77</v>
      </c>
      <c r="J11" s="278" t="str">
        <f>'6.Cons Profit &amp; Loss'!H42</f>
        <v>1,203,735.77</v>
      </c>
    </row>
    <row r="12" ht="14.25" customHeight="1">
      <c r="B12" s="155" t="s">
        <v>499</v>
      </c>
      <c r="C12" s="155"/>
      <c r="D12" s="278" t="str">
        <f>'6.Cons Profit &amp; Loss'!B43</f>
        <v>149,729.10</v>
      </c>
      <c r="E12" s="278" t="str">
        <f>'6.Cons Profit &amp; Loss'!C43</f>
        <v>149,729.10</v>
      </c>
      <c r="F12" s="278" t="str">
        <f>'6.Cons Profit &amp; Loss'!D43</f>
        <v>149,729.10</v>
      </c>
      <c r="G12" s="278" t="str">
        <f>'6.Cons Profit &amp; Loss'!E43</f>
        <v>149,729.10</v>
      </c>
      <c r="H12" s="278" t="str">
        <f>'6.Cons Profit &amp; Loss'!F43</f>
        <v>149,729.10</v>
      </c>
      <c r="I12" s="278" t="str">
        <f>'6.Cons Profit &amp; Loss'!G43</f>
        <v>0.00</v>
      </c>
      <c r="J12" s="278" t="str">
        <f>'6.Cons Profit &amp; Loss'!H43</f>
        <v>0.00</v>
      </c>
    </row>
    <row r="13" ht="14.25" customHeight="1">
      <c r="B13" s="155"/>
      <c r="C13" s="155"/>
      <c r="D13" s="155"/>
      <c r="E13" s="155"/>
      <c r="F13" s="155"/>
      <c r="G13" s="155"/>
      <c r="H13" s="155"/>
      <c r="I13" s="155"/>
      <c r="J13" s="155"/>
    </row>
    <row r="14" ht="14.25" customHeight="1">
      <c r="B14" s="155" t="s">
        <v>500</v>
      </c>
      <c r="C14" s="155"/>
      <c r="D14" s="278" t="str">
        <f t="shared" ref="D14:J14" si="1">SUM(D9:D12)</f>
        <v>4,110,603.82</v>
      </c>
      <c r="E14" s="278" t="str">
        <f t="shared" si="1"/>
        <v>4,965,167.74</v>
      </c>
      <c r="F14" s="278" t="str">
        <f t="shared" si="1"/>
        <v>5,951,806.98</v>
      </c>
      <c r="G14" s="278" t="str">
        <f t="shared" si="1"/>
        <v>7,049,419.21</v>
      </c>
      <c r="H14" s="278" t="str">
        <f t="shared" si="1"/>
        <v>8,265,028.32</v>
      </c>
      <c r="I14" s="278" t="str">
        <f t="shared" si="1"/>
        <v>9,327,610.00</v>
      </c>
      <c r="J14" s="278" t="str">
        <f t="shared" si="1"/>
        <v>10,392,600.34</v>
      </c>
    </row>
    <row r="15" ht="14.25" customHeight="1">
      <c r="B15" s="155" t="s">
        <v>501</v>
      </c>
      <c r="C15" s="279" t="str">
        <f>-'1.Project Cost and MOF'!E22</f>
        <v>  (32,338,113.0763)</v>
      </c>
      <c r="D15" s="278" t="str">
        <f t="shared" ref="D15:J15" si="2">D14</f>
        <v>4,110,603.82</v>
      </c>
      <c r="E15" s="278" t="str">
        <f t="shared" si="2"/>
        <v>4,965,167.74</v>
      </c>
      <c r="F15" s="278" t="str">
        <f t="shared" si="2"/>
        <v>5,951,806.98</v>
      </c>
      <c r="G15" s="278" t="str">
        <f t="shared" si="2"/>
        <v>7,049,419.21</v>
      </c>
      <c r="H15" s="278" t="str">
        <f t="shared" si="2"/>
        <v>8,265,028.32</v>
      </c>
      <c r="I15" s="278" t="str">
        <f t="shared" si="2"/>
        <v>9,327,610.00</v>
      </c>
      <c r="J15" s="278" t="str">
        <f t="shared" si="2"/>
        <v>10,392,600.34</v>
      </c>
    </row>
    <row r="16" ht="14.25" customHeight="1">
      <c r="B16" s="155" t="s">
        <v>502</v>
      </c>
      <c r="C16" s="280" t="str">
        <f>IRR(C15:J15)</f>
        <v>10.41%</v>
      </c>
      <c r="D16" s="278"/>
      <c r="E16" s="278"/>
      <c r="F16" s="278"/>
      <c r="G16" s="278"/>
      <c r="H16" s="278"/>
      <c r="I16" s="278"/>
      <c r="J16" s="278"/>
    </row>
    <row r="17" ht="14.25" customHeight="1">
      <c r="B17" s="155"/>
      <c r="C17" s="155"/>
      <c r="D17" s="155"/>
      <c r="E17" s="155"/>
      <c r="F17" s="155"/>
      <c r="G17" s="155"/>
      <c r="H17" s="155"/>
      <c r="I17" s="155"/>
      <c r="J17" s="155"/>
    </row>
    <row r="18" ht="14.25" customHeight="1">
      <c r="B18" s="281" t="s">
        <v>503</v>
      </c>
      <c r="C18" s="282"/>
      <c r="D18" s="283" t="str">
        <f>1/(1+$C$16)</f>
        <v>0.91</v>
      </c>
      <c r="E18" s="284" t="str">
        <f t="shared" ref="E18:J18" si="3">D18/(1+$C$16)</f>
        <v>0.82</v>
      </c>
      <c r="F18" s="284" t="str">
        <f t="shared" si="3"/>
        <v>0.74</v>
      </c>
      <c r="G18" s="284" t="str">
        <f t="shared" si="3"/>
        <v>0.67</v>
      </c>
      <c r="H18" s="284" t="str">
        <f t="shared" si="3"/>
        <v>0.61</v>
      </c>
      <c r="I18" s="284" t="str">
        <f t="shared" si="3"/>
        <v>0.55</v>
      </c>
      <c r="J18" s="284" t="str">
        <f t="shared" si="3"/>
        <v>0.50</v>
      </c>
      <c r="L18" s="285"/>
      <c r="M18" s="285"/>
      <c r="N18" s="285"/>
      <c r="O18" s="285"/>
      <c r="P18" s="285"/>
      <c r="Q18" s="285"/>
      <c r="R18" s="285"/>
      <c r="S18" s="285"/>
    </row>
    <row r="19" ht="14.25" customHeight="1">
      <c r="B19" s="155" t="s">
        <v>504</v>
      </c>
      <c r="C19" s="155"/>
      <c r="D19" s="278" t="str">
        <f t="shared" ref="D19:J19" si="4">D14*D18</f>
        <v>3,722,872.30</v>
      </c>
      <c r="E19" s="278" t="str">
        <f t="shared" si="4"/>
        <v>4,072,667.58</v>
      </c>
      <c r="F19" s="278" t="str">
        <f t="shared" si="4"/>
        <v>4,421,467.08</v>
      </c>
      <c r="G19" s="278" t="str">
        <f t="shared" si="4"/>
        <v>4,742,893.95</v>
      </c>
      <c r="H19" s="278" t="str">
        <f t="shared" si="4"/>
        <v>5,036,246.07</v>
      </c>
      <c r="I19" s="278" t="str">
        <f t="shared" si="4"/>
        <v>5,147,608.32</v>
      </c>
      <c r="J19" s="278" t="str">
        <f t="shared" si="4"/>
        <v>5,194,357.78</v>
      </c>
      <c r="L19" s="286"/>
    </row>
    <row r="20" ht="14.25" customHeight="1">
      <c r="B20" s="155" t="s">
        <v>505</v>
      </c>
      <c r="C20" s="155"/>
      <c r="D20" s="287" t="str">
        <f>SUM(D19:J19)</f>
        <v>32,338,113.08</v>
      </c>
      <c r="E20" s="5"/>
      <c r="F20" s="5"/>
      <c r="G20" s="5"/>
      <c r="H20" s="5"/>
      <c r="I20" s="5"/>
      <c r="J20" s="6"/>
      <c r="L20" s="286"/>
    </row>
    <row r="21" ht="14.25" customHeight="1">
      <c r="B21" s="155"/>
      <c r="C21" s="155"/>
      <c r="D21" s="278"/>
      <c r="E21" s="278"/>
      <c r="F21" s="278"/>
      <c r="G21" s="278"/>
      <c r="H21" s="278"/>
      <c r="I21" s="278"/>
      <c r="J21" s="278"/>
    </row>
    <row r="22" ht="14.25" customHeight="1">
      <c r="B22" s="288" t="s">
        <v>506</v>
      </c>
      <c r="C22" s="288"/>
      <c r="D22" s="289" t="str">
        <f>'1.Project Cost and MOF'!D12</f>
        <v>32,338,113.08</v>
      </c>
    </row>
    <row r="23" ht="14.25" customHeight="1">
      <c r="F23" s="285" t="str">
        <f>D20-D22</f>
        <v>0.00</v>
      </c>
    </row>
    <row r="24" ht="29.25" customHeight="1">
      <c r="B24" s="290" t="s">
        <v>507</v>
      </c>
    </row>
    <row r="25" ht="14.25" customHeight="1">
      <c r="K25" s="285"/>
      <c r="L25" s="285"/>
      <c r="M25" s="285"/>
    </row>
    <row r="26" ht="14.25" customHeight="1">
      <c r="B26" s="25" t="s">
        <v>508</v>
      </c>
    </row>
    <row r="27" ht="14.25" customHeight="1">
      <c r="K27" s="285"/>
    </row>
    <row r="28" ht="14.25" customHeight="1">
      <c r="B28" s="291" t="s">
        <v>190</v>
      </c>
      <c r="C28" s="292" t="s">
        <v>193</v>
      </c>
      <c r="D28" s="292" t="s">
        <v>194</v>
      </c>
      <c r="E28" s="292" t="s">
        <v>195</v>
      </c>
      <c r="F28" s="292" t="s">
        <v>196</v>
      </c>
      <c r="G28" s="292" t="s">
        <v>197</v>
      </c>
      <c r="H28" s="292" t="s">
        <v>198</v>
      </c>
      <c r="I28" s="292" t="s">
        <v>199</v>
      </c>
    </row>
    <row r="29" ht="14.25" customHeight="1">
      <c r="B29" s="73"/>
      <c r="C29" s="73"/>
      <c r="D29" s="73"/>
      <c r="E29" s="73"/>
      <c r="F29" s="73"/>
      <c r="G29" s="73"/>
      <c r="H29" s="73"/>
      <c r="I29" s="73"/>
    </row>
    <row r="30" ht="14.25" customHeight="1">
      <c r="B30" s="73" t="s">
        <v>509</v>
      </c>
      <c r="C30" s="73"/>
      <c r="D30" s="73"/>
      <c r="E30" s="73"/>
      <c r="F30" s="73"/>
      <c r="G30" s="73"/>
      <c r="H30" s="73"/>
      <c r="I30" s="73"/>
    </row>
    <row r="31" ht="14.25" customHeight="1">
      <c r="B31" s="73"/>
      <c r="C31" s="116"/>
      <c r="D31" s="116"/>
      <c r="E31" s="116"/>
      <c r="F31" s="116"/>
      <c r="G31" s="116"/>
      <c r="H31" s="116"/>
      <c r="I31" s="116"/>
    </row>
    <row r="32" ht="14.25" customHeight="1">
      <c r="B32" s="293" t="str">
        <f>'6.Cons Profit &amp; Loss'!A8</f>
        <v>Activity 1 - Cleaning &amp; Grading</v>
      </c>
      <c r="C32" s="116" t="str">
        <f>'6.Cons Profit &amp; Loss'!B8</f>
        <v>  -   </v>
      </c>
      <c r="D32" s="116" t="str">
        <f>'6.Cons Profit &amp; Loss'!C8</f>
        <v>  -   </v>
      </c>
      <c r="E32" s="116" t="str">
        <f>'6.Cons Profit &amp; Loss'!D8</f>
        <v>  -   </v>
      </c>
      <c r="F32" s="116" t="str">
        <f>'6.Cons Profit &amp; Loss'!E8</f>
        <v>  -   </v>
      </c>
      <c r="G32" s="116" t="str">
        <f>'6.Cons Profit &amp; Loss'!F8</f>
        <v>  -   </v>
      </c>
      <c r="H32" s="116" t="str">
        <f>'6.Cons Profit &amp; Loss'!G8</f>
        <v>  -   </v>
      </c>
      <c r="I32" s="116" t="str">
        <f>'6.Cons Profit &amp; Loss'!H8</f>
        <v>  -   </v>
      </c>
    </row>
    <row r="33" ht="14.25" customHeight="1">
      <c r="B33" s="293" t="str">
        <f>'6.Cons Profit &amp; Loss'!A9</f>
        <v>Activity 1 - Dal Mill</v>
      </c>
      <c r="C33" s="116" t="str">
        <f>'6.Cons Profit &amp; Loss'!B9</f>
        <v>  16,279,465 </v>
      </c>
      <c r="D33" s="116" t="str">
        <f>'6.Cons Profit &amp; Loss'!C9</f>
        <v>  20,208,249 </v>
      </c>
      <c r="E33" s="116" t="str">
        <f>'6.Cons Profit &amp; Loss'!D9</f>
        <v>  24,256,547 </v>
      </c>
      <c r="F33" s="116" t="str">
        <f>'6.Cons Profit &amp; Loss'!E9</f>
        <v>  28,659,153 </v>
      </c>
      <c r="G33" s="116" t="str">
        <f>'6.Cons Profit &amp; Loss'!F9</f>
        <v>  33,441,379 </v>
      </c>
      <c r="H33" s="116" t="str">
        <f>'6.Cons Profit &amp; Loss'!G9</f>
        <v>  38,630,180 </v>
      </c>
      <c r="I33" s="116" t="str">
        <f>'6.Cons Profit &amp; Loss'!H9</f>
        <v>  44,254,257 </v>
      </c>
    </row>
    <row r="34" ht="14.25" customHeight="1">
      <c r="B34" s="293" t="str">
        <f>'6.Cons Profit &amp; Loss'!A10</f>
        <v>Activity 2 - Warehouse</v>
      </c>
      <c r="C34" s="116" t="str">
        <f>'6.Cons Profit &amp; Loss'!B10</f>
        <v>  2,280,960 </v>
      </c>
      <c r="D34" s="116" t="str">
        <f>'6.Cons Profit &amp; Loss'!C10</f>
        <v>  2,544,696 </v>
      </c>
      <c r="E34" s="116" t="str">
        <f>'6.Cons Profit &amp; Loss'!D10</f>
        <v>  2,829,103 </v>
      </c>
      <c r="F34" s="116" t="str">
        <f>'6.Cons Profit &amp; Loss'!E10</f>
        <v>  3,135,589 </v>
      </c>
      <c r="G34" s="116" t="str">
        <f>'6.Cons Profit &amp; Loss'!F10</f>
        <v>  3,465,651 </v>
      </c>
      <c r="H34" s="116" t="str">
        <f>'6.Cons Profit &amp; Loss'!G10</f>
        <v>  3,638,934 </v>
      </c>
      <c r="I34" s="116" t="str">
        <f>'6.Cons Profit &amp; Loss'!H10</f>
        <v>  3,820,881 </v>
      </c>
    </row>
    <row r="35" ht="14.25" customHeight="1">
      <c r="B35" s="293" t="str">
        <f>'6.Cons Profit &amp; Loss'!A11</f>
        <v>Activity 3 - Custom Hiring </v>
      </c>
      <c r="C35" s="116" t="str">
        <f>'6.Cons Profit &amp; Loss'!B11</f>
        <v>  2,056,000 </v>
      </c>
      <c r="D35" s="116" t="str">
        <f>'6.Cons Profit &amp; Loss'!C11</f>
        <v>  2,158,800 </v>
      </c>
      <c r="E35" s="116" t="str">
        <f>'6.Cons Profit &amp; Loss'!D11</f>
        <v>  2,266,740 </v>
      </c>
      <c r="F35" s="116" t="str">
        <f>'6.Cons Profit &amp; Loss'!E11</f>
        <v>  2,380,077 </v>
      </c>
      <c r="G35" s="116" t="str">
        <f>'6.Cons Profit &amp; Loss'!F11</f>
        <v>  2,499,081 </v>
      </c>
      <c r="H35" s="116" t="str">
        <f>'6.Cons Profit &amp; Loss'!G11</f>
        <v>  2,624,035 </v>
      </c>
      <c r="I35" s="116" t="str">
        <f>'6.Cons Profit &amp; Loss'!H11</f>
        <v>  2,755,237 </v>
      </c>
    </row>
    <row r="36" ht="14.25" customHeight="1">
      <c r="B36" s="293" t="str">
        <f>'6.Cons Profit &amp; Loss'!A12</f>
        <v>Activity 4 - Agri Input Centre</v>
      </c>
      <c r="C36" s="116" t="str">
        <f>'6.Cons Profit &amp; Loss'!B12</f>
        <v>  -   </v>
      </c>
      <c r="D36" s="116" t="str">
        <f>'6.Cons Profit &amp; Loss'!C12</f>
        <v>  -   </v>
      </c>
      <c r="E36" s="116" t="str">
        <f>'6.Cons Profit &amp; Loss'!D12</f>
        <v>  -   </v>
      </c>
      <c r="F36" s="116" t="str">
        <f>'6.Cons Profit &amp; Loss'!E12</f>
        <v>  -   </v>
      </c>
      <c r="G36" s="116" t="str">
        <f>'6.Cons Profit &amp; Loss'!F12</f>
        <v>  -   </v>
      </c>
      <c r="H36" s="116" t="str">
        <f>'6.Cons Profit &amp; Loss'!G12</f>
        <v>  -   </v>
      </c>
      <c r="I36" s="116" t="str">
        <f>'6.Cons Profit &amp; Loss'!H12</f>
        <v>  -   </v>
      </c>
    </row>
    <row r="37" ht="14.25" customHeight="1">
      <c r="B37" s="293" t="str">
        <f>'6.Cons Profit &amp; Loss'!A13</f>
        <v>Facility 6 - Processing Unit - Horti Commodity</v>
      </c>
      <c r="C37" s="116" t="str">
        <f>'6.Cons Profit &amp; Loss'!B13</f>
        <v>  -   </v>
      </c>
      <c r="D37" s="116" t="str">
        <f>'6.Cons Profit &amp; Loss'!C13</f>
        <v>  -   </v>
      </c>
      <c r="E37" s="116" t="str">
        <f>'6.Cons Profit &amp; Loss'!D13</f>
        <v>  -   </v>
      </c>
      <c r="F37" s="116" t="str">
        <f>'6.Cons Profit &amp; Loss'!E13</f>
        <v>  -   </v>
      </c>
      <c r="G37" s="116" t="str">
        <f>'6.Cons Profit &amp; Loss'!F13</f>
        <v>  -   </v>
      </c>
      <c r="H37" s="116" t="str">
        <f>'6.Cons Profit &amp; Loss'!G13</f>
        <v>  -   </v>
      </c>
      <c r="I37" s="116" t="str">
        <f>'6.Cons Profit &amp; Loss'!H13</f>
        <v>  -   </v>
      </c>
    </row>
    <row r="38" ht="14.25" customHeight="1">
      <c r="B38" s="293"/>
      <c r="C38" s="293"/>
      <c r="D38" s="293"/>
      <c r="E38" s="293"/>
      <c r="F38" s="293"/>
      <c r="G38" s="293"/>
      <c r="H38" s="293"/>
      <c r="I38" s="293"/>
    </row>
    <row r="39" ht="14.25" customHeight="1">
      <c r="B39" s="73" t="s">
        <v>510</v>
      </c>
      <c r="C39" s="116" t="str">
        <f t="shared" ref="C39:I39" si="5">SUM(C32:C38)</f>
        <v>  20,616,425 </v>
      </c>
      <c r="D39" s="116" t="str">
        <f t="shared" si="5"/>
        <v>  24,911,745 </v>
      </c>
      <c r="E39" s="116" t="str">
        <f t="shared" si="5"/>
        <v>  29,352,390 </v>
      </c>
      <c r="F39" s="116" t="str">
        <f t="shared" si="5"/>
        <v>  34,174,820 </v>
      </c>
      <c r="G39" s="116" t="str">
        <f t="shared" si="5"/>
        <v>  39,406,111 </v>
      </c>
      <c r="H39" s="116" t="str">
        <f t="shared" si="5"/>
        <v>  44,893,149 </v>
      </c>
      <c r="I39" s="116" t="str">
        <f t="shared" si="5"/>
        <v>  50,830,374 </v>
      </c>
    </row>
    <row r="40" ht="14.25" customHeight="1">
      <c r="B40" s="73"/>
      <c r="C40" s="116"/>
      <c r="D40" s="116"/>
      <c r="E40" s="116"/>
      <c r="F40" s="116"/>
      <c r="G40" s="116"/>
      <c r="H40" s="116"/>
      <c r="I40" s="116"/>
    </row>
    <row r="41" ht="14.25" customHeight="1">
      <c r="B41" s="73" t="s">
        <v>511</v>
      </c>
      <c r="C41" s="116" t="str">
        <f>'6.Cons Profit &amp; Loss'!B25</f>
        <v>  13,923,572 </v>
      </c>
      <c r="D41" s="116" t="str">
        <f>'6.Cons Profit &amp; Loss'!C25</f>
        <v>  16,999,480 </v>
      </c>
      <c r="E41" s="116" t="str">
        <f>'6.Cons Profit &amp; Loss'!D25</f>
        <v>  20,131,840 </v>
      </c>
      <c r="F41" s="116" t="str">
        <f>'6.Cons Profit &amp; Loss'!E25</f>
        <v>  23,534,939 </v>
      </c>
      <c r="G41" s="116" t="str">
        <f>'6.Cons Profit &amp; Loss'!F25</f>
        <v>  27,228,017 </v>
      </c>
      <c r="H41" s="116" t="str">
        <f>'6.Cons Profit &amp; Loss'!G25</f>
        <v>  31,216,403 </v>
      </c>
      <c r="I41" s="116" t="str">
        <f>'6.Cons Profit &amp; Loss'!H25</f>
        <v>  35,535,558 </v>
      </c>
    </row>
    <row r="42" ht="14.25" customHeight="1">
      <c r="B42" s="73"/>
      <c r="C42" s="116"/>
      <c r="D42" s="116"/>
      <c r="E42" s="116"/>
      <c r="F42" s="116"/>
      <c r="G42" s="116"/>
      <c r="H42" s="116"/>
      <c r="I42" s="116"/>
    </row>
    <row r="43" ht="14.25" customHeight="1">
      <c r="B43" s="117" t="s">
        <v>512</v>
      </c>
      <c r="C43" s="118" t="str">
        <f t="shared" ref="C43:I43" si="6">C39-C41</f>
        <v>  6,692,853 </v>
      </c>
      <c r="D43" s="118" t="str">
        <f t="shared" si="6"/>
        <v>  7,912,265 </v>
      </c>
      <c r="E43" s="118" t="str">
        <f t="shared" si="6"/>
        <v>  9,220,549 </v>
      </c>
      <c r="F43" s="118" t="str">
        <f t="shared" si="6"/>
        <v>  10,639,881 </v>
      </c>
      <c r="G43" s="118" t="str">
        <f t="shared" si="6"/>
        <v>  12,178,095 </v>
      </c>
      <c r="H43" s="118" t="str">
        <f t="shared" si="6"/>
        <v>  13,676,745 </v>
      </c>
      <c r="I43" s="118" t="str">
        <f t="shared" si="6"/>
        <v>  15,294,816 </v>
      </c>
    </row>
    <row r="44" ht="14.25" customHeight="1">
      <c r="B44" s="73"/>
      <c r="C44" s="116"/>
      <c r="D44" s="116"/>
      <c r="E44" s="116"/>
      <c r="F44" s="116"/>
      <c r="G44" s="116"/>
      <c r="H44" s="116"/>
      <c r="I44" s="116"/>
    </row>
    <row r="45" ht="14.25" customHeight="1">
      <c r="B45" s="117" t="s">
        <v>513</v>
      </c>
      <c r="C45" s="118" t="str">
        <f>'6.Cons Profit &amp; Loss'!B36+'3.Other Exp &amp; Taxes'!K66+'3.Other Exp &amp; Taxes'!C87</f>
        <v>  4,823,302 </v>
      </c>
      <c r="D45" s="118" t="str">
        <f>'6.Cons Profit &amp; Loss'!C36+'3.Other Exp &amp; Taxes'!L66+'3.Other Exp &amp; Taxes'!D87</f>
        <v>  4,487,077 </v>
      </c>
      <c r="E45" s="118" t="str">
        <f>'6.Cons Profit &amp; Loss'!D36+'3.Other Exp &amp; Taxes'!M66+'3.Other Exp &amp; Taxes'!E87</f>
        <v>  4,200,925 </v>
      </c>
      <c r="F45" s="118" t="str">
        <f>'6.Cons Profit &amp; Loss'!E36+'3.Other Exp &amp; Taxes'!N66+'3.Other Exp &amp; Taxes'!F87</f>
        <v>  3,959,177 </v>
      </c>
      <c r="G45" s="118" t="str">
        <f>'6.Cons Profit &amp; Loss'!F36+'3.Other Exp &amp; Taxes'!O66+'3.Other Exp &amp; Taxes'!G87</f>
        <v>  3,756,920 </v>
      </c>
      <c r="H45" s="118" t="str">
        <f>'6.Cons Profit &amp; Loss'!G36+'3.Other Exp &amp; Taxes'!P66+'3.Other Exp &amp; Taxes'!H87</f>
        <v>  3,440,170 </v>
      </c>
      <c r="I45" s="118" t="str">
        <f>'6.Cons Profit &amp; Loss'!H36+'3.Other Exp &amp; Taxes'!Q66+'3.Other Exp &amp; Taxes'!I87</f>
        <v>  3,304,701 </v>
      </c>
    </row>
    <row r="46" ht="14.25" customHeight="1">
      <c r="B46" s="73"/>
      <c r="C46" s="73"/>
      <c r="D46" s="73"/>
      <c r="E46" s="73"/>
      <c r="F46" s="73"/>
      <c r="G46" s="73"/>
      <c r="H46" s="73"/>
      <c r="I46" s="73"/>
    </row>
    <row r="47" ht="14.25" customHeight="1">
      <c r="B47" s="73" t="s">
        <v>514</v>
      </c>
      <c r="C47" s="202" t="str">
        <f t="shared" ref="C47:I47" si="7">C45/C43</f>
        <v>72%</v>
      </c>
      <c r="D47" s="202" t="str">
        <f t="shared" si="7"/>
        <v>57%</v>
      </c>
      <c r="E47" s="202" t="str">
        <f t="shared" si="7"/>
        <v>46%</v>
      </c>
      <c r="F47" s="202" t="str">
        <f t="shared" si="7"/>
        <v>37%</v>
      </c>
      <c r="G47" s="202" t="str">
        <f t="shared" si="7"/>
        <v>31%</v>
      </c>
      <c r="H47" s="202" t="str">
        <f t="shared" si="7"/>
        <v>25%</v>
      </c>
      <c r="I47" s="202" t="str">
        <f t="shared" si="7"/>
        <v>22%</v>
      </c>
    </row>
    <row r="48" ht="14.25" customHeight="1">
      <c r="B48" s="111"/>
      <c r="C48" s="111"/>
      <c r="D48" s="111"/>
      <c r="E48" s="111"/>
      <c r="F48" s="111"/>
      <c r="G48" s="111"/>
      <c r="H48" s="111"/>
      <c r="I48" s="111"/>
    </row>
    <row r="49" ht="14.25" customHeight="1">
      <c r="B49" s="294" t="s">
        <v>515</v>
      </c>
      <c r="C49" s="295" t="str">
        <f>AVERAGE(C47:I47)</f>
        <v>41.31%</v>
      </c>
      <c r="D49" s="111"/>
      <c r="E49" s="111"/>
      <c r="F49" s="111"/>
      <c r="G49" s="111"/>
      <c r="H49" s="111"/>
      <c r="I49" s="111"/>
    </row>
    <row r="50" ht="14.25" customHeight="1"/>
    <row r="51" ht="41.25" customHeight="1">
      <c r="B51" s="296" t="s">
        <v>516</v>
      </c>
    </row>
    <row r="52" ht="14.25" customHeight="1"/>
    <row r="53" ht="14.25" customHeight="1"/>
    <row r="54" ht="14.25" customHeight="1">
      <c r="B54" s="25" t="s">
        <v>517</v>
      </c>
    </row>
    <row r="55" ht="14.25" customHeight="1"/>
    <row r="56" ht="14.25" customHeight="1">
      <c r="B56" s="198" t="s">
        <v>495</v>
      </c>
      <c r="C56" s="199" t="s">
        <v>193</v>
      </c>
      <c r="D56" s="199" t="s">
        <v>194</v>
      </c>
      <c r="E56" s="199" t="s">
        <v>195</v>
      </c>
      <c r="F56" s="199" t="s">
        <v>196</v>
      </c>
      <c r="G56" s="199" t="s">
        <v>197</v>
      </c>
      <c r="H56" s="199" t="s">
        <v>198</v>
      </c>
      <c r="I56" s="199" t="s">
        <v>199</v>
      </c>
    </row>
    <row r="57" ht="14.25" customHeight="1">
      <c r="B57" s="73"/>
      <c r="C57" s="73"/>
      <c r="D57" s="73"/>
      <c r="E57" s="73"/>
      <c r="F57" s="73"/>
      <c r="G57" s="73"/>
      <c r="H57" s="73"/>
      <c r="I57" s="73"/>
    </row>
    <row r="58" ht="14.25" customHeight="1">
      <c r="B58" s="73" t="s">
        <v>518</v>
      </c>
      <c r="C58" s="297" t="str">
        <f>'6.Cons Profit &amp; Loss'!B51</f>
        <v>2,757,139</v>
      </c>
      <c r="D58" s="297" t="str">
        <f>'6.Cons Profit &amp; Loss'!C51</f>
        <v>3,611,703</v>
      </c>
      <c r="E58" s="297" t="str">
        <f>'6.Cons Profit &amp; Loss'!D51</f>
        <v>4,598,342</v>
      </c>
      <c r="F58" s="297" t="str">
        <f>'6.Cons Profit &amp; Loss'!E51</f>
        <v>5,695,954</v>
      </c>
      <c r="G58" s="297" t="str">
        <f>'6.Cons Profit &amp; Loss'!F51</f>
        <v>6,911,563</v>
      </c>
      <c r="H58" s="297" t="str">
        <f>'6.Cons Profit &amp; Loss'!G51</f>
        <v>8,123,874</v>
      </c>
      <c r="I58" s="297" t="str">
        <f>'6.Cons Profit &amp; Loss'!H51</f>
        <v>9,188,865</v>
      </c>
    </row>
    <row r="59" ht="14.25" customHeight="1">
      <c r="B59" s="73"/>
      <c r="C59" s="297"/>
      <c r="D59" s="297"/>
      <c r="E59" s="297"/>
      <c r="F59" s="297"/>
      <c r="G59" s="297"/>
      <c r="H59" s="297"/>
      <c r="I59" s="297"/>
    </row>
    <row r="60" ht="14.25" customHeight="1">
      <c r="B60" s="73" t="s">
        <v>519</v>
      </c>
      <c r="C60" s="297" t="str">
        <f>'6.Cons Profit &amp; Loss'!B42</f>
        <v>1,203,736</v>
      </c>
      <c r="D60" s="297" t="str">
        <f>'6.Cons Profit &amp; Loss'!C42</f>
        <v>1,203,736</v>
      </c>
      <c r="E60" s="297" t="str">
        <f>'6.Cons Profit &amp; Loss'!D42</f>
        <v>1,203,736</v>
      </c>
      <c r="F60" s="297" t="str">
        <f>'6.Cons Profit &amp; Loss'!E42</f>
        <v>1,203,736</v>
      </c>
      <c r="G60" s="297" t="str">
        <f>'6.Cons Profit &amp; Loss'!F42</f>
        <v>1,203,736</v>
      </c>
      <c r="H60" s="297" t="str">
        <f>'6.Cons Profit &amp; Loss'!G42</f>
        <v>1,203,736</v>
      </c>
      <c r="I60" s="297" t="str">
        <f>'6.Cons Profit &amp; Loss'!H42</f>
        <v>1,203,736</v>
      </c>
    </row>
    <row r="61" ht="14.25" customHeight="1">
      <c r="B61" s="298" t="s">
        <v>520</v>
      </c>
      <c r="C61" s="297" t="str">
        <f>'6.Cons Profit &amp; Loss'!B43</f>
        <v>149,729</v>
      </c>
      <c r="D61" s="297" t="str">
        <f>'6.Cons Profit &amp; Loss'!C43</f>
        <v>149,729</v>
      </c>
      <c r="E61" s="297" t="str">
        <f>'6.Cons Profit &amp; Loss'!D43</f>
        <v>149,729</v>
      </c>
      <c r="F61" s="297" t="str">
        <f>'6.Cons Profit &amp; Loss'!E43</f>
        <v>149,729</v>
      </c>
      <c r="G61" s="297" t="str">
        <f>'6.Cons Profit &amp; Loss'!F43</f>
        <v>149,729</v>
      </c>
      <c r="H61" s="297" t="str">
        <f>'6.Cons Profit &amp; Loss'!G43</f>
        <v>0</v>
      </c>
      <c r="I61" s="297" t="str">
        <f>'6.Cons Profit &amp; Loss'!H43</f>
        <v>0</v>
      </c>
    </row>
    <row r="62" ht="14.25" customHeight="1">
      <c r="B62" s="73"/>
      <c r="C62" s="297"/>
      <c r="D62" s="297"/>
      <c r="E62" s="297"/>
      <c r="F62" s="297"/>
      <c r="G62" s="297"/>
      <c r="H62" s="297"/>
      <c r="I62" s="297"/>
    </row>
    <row r="63" ht="14.25" customHeight="1">
      <c r="B63" s="73" t="s">
        <v>500</v>
      </c>
      <c r="C63" s="297" t="str">
        <f t="shared" ref="C63:I63" si="8">SUM(C58:C61)</f>
        <v>4,110,604</v>
      </c>
      <c r="D63" s="297" t="str">
        <f t="shared" si="8"/>
        <v>4,965,168</v>
      </c>
      <c r="E63" s="297" t="str">
        <f t="shared" si="8"/>
        <v>5,951,807</v>
      </c>
      <c r="F63" s="297" t="str">
        <f t="shared" si="8"/>
        <v>7,049,419</v>
      </c>
      <c r="G63" s="297" t="str">
        <f t="shared" si="8"/>
        <v>8,265,028</v>
      </c>
      <c r="H63" s="297" t="str">
        <f t="shared" si="8"/>
        <v>9,327,610</v>
      </c>
      <c r="I63" s="297" t="str">
        <f t="shared" si="8"/>
        <v>10,392,600</v>
      </c>
    </row>
    <row r="64" ht="14.25" customHeight="1">
      <c r="B64" s="73"/>
      <c r="C64" s="73"/>
      <c r="D64" s="73"/>
      <c r="E64" s="73"/>
      <c r="F64" s="73"/>
      <c r="G64" s="73"/>
      <c r="H64" s="73"/>
      <c r="I64" s="73"/>
    </row>
    <row r="65" ht="14.25" customHeight="1">
      <c r="B65" s="299" t="s">
        <v>521</v>
      </c>
      <c r="C65" s="293" t="str">
        <f>1/1.1</f>
        <v>0.91</v>
      </c>
      <c r="D65" s="293" t="str">
        <f t="shared" ref="D65:I65" si="9">C65/1.1</f>
        <v>0.83</v>
      </c>
      <c r="E65" s="293" t="str">
        <f t="shared" si="9"/>
        <v>0.75</v>
      </c>
      <c r="F65" s="293" t="str">
        <f t="shared" si="9"/>
        <v>0.68</v>
      </c>
      <c r="G65" s="293" t="str">
        <f t="shared" si="9"/>
        <v>0.62</v>
      </c>
      <c r="H65" s="293" t="str">
        <f t="shared" si="9"/>
        <v>0.56</v>
      </c>
      <c r="I65" s="293" t="str">
        <f t="shared" si="9"/>
        <v>0.51</v>
      </c>
    </row>
    <row r="66" ht="14.25" customHeight="1">
      <c r="B66" s="73"/>
      <c r="C66" s="73"/>
      <c r="D66" s="73"/>
      <c r="E66" s="73"/>
      <c r="F66" s="73"/>
      <c r="G66" s="73"/>
      <c r="H66" s="73"/>
      <c r="I66" s="73"/>
    </row>
    <row r="67" ht="14.25" customHeight="1">
      <c r="B67" s="299" t="s">
        <v>522</v>
      </c>
      <c r="C67" s="116" t="str">
        <f t="shared" ref="C67:I67" si="10">C63*C65</f>
        <v>  3,736,913 </v>
      </c>
      <c r="D67" s="116" t="str">
        <f t="shared" si="10"/>
        <v>  4,103,444 </v>
      </c>
      <c r="E67" s="116" t="str">
        <f t="shared" si="10"/>
        <v>  4,471,681 </v>
      </c>
      <c r="F67" s="116" t="str">
        <f t="shared" si="10"/>
        <v>  4,814,848 </v>
      </c>
      <c r="G67" s="116" t="str">
        <f t="shared" si="10"/>
        <v>  5,131,932 </v>
      </c>
      <c r="H67" s="116" t="str">
        <f t="shared" si="10"/>
        <v>  5,265,193 </v>
      </c>
      <c r="I67" s="116" t="str">
        <f t="shared" si="10"/>
        <v>  5,333,047 </v>
      </c>
    </row>
    <row r="68" ht="14.25" customHeight="1">
      <c r="B68" s="111"/>
      <c r="C68" s="187"/>
      <c r="D68" s="187"/>
      <c r="E68" s="187"/>
      <c r="F68" s="187"/>
      <c r="G68" s="187"/>
      <c r="H68" s="187"/>
      <c r="I68" s="187"/>
    </row>
    <row r="69" ht="14.25" customHeight="1">
      <c r="B69" s="300" t="s">
        <v>523</v>
      </c>
      <c r="C69" s="187" t="str">
        <f>SUM(C67:I67)</f>
        <v>  32,857,058 </v>
      </c>
      <c r="D69" s="187"/>
      <c r="E69" s="187"/>
      <c r="F69" s="187"/>
      <c r="G69" s="187"/>
      <c r="H69" s="187"/>
      <c r="I69" s="187"/>
    </row>
    <row r="70" ht="14.25" customHeight="1">
      <c r="B70" s="111"/>
      <c r="C70" s="187"/>
      <c r="D70" s="187"/>
      <c r="E70" s="187"/>
      <c r="F70" s="187"/>
      <c r="G70" s="187"/>
      <c r="H70" s="187"/>
      <c r="I70" s="187"/>
    </row>
    <row r="71" ht="14.25" customHeight="1">
      <c r="B71" s="300" t="s">
        <v>524</v>
      </c>
      <c r="C71" s="187" t="str">
        <f>-C15</f>
        <v>  32,338,113 </v>
      </c>
      <c r="D71" s="187"/>
      <c r="E71" s="187"/>
      <c r="F71" s="187"/>
      <c r="G71" s="187"/>
      <c r="H71" s="187"/>
      <c r="I71" s="187"/>
    </row>
    <row r="72" ht="14.25" customHeight="1">
      <c r="B72" s="111"/>
      <c r="C72" s="301"/>
      <c r="D72" s="111"/>
      <c r="E72" s="111"/>
      <c r="F72" s="111"/>
      <c r="G72" s="111"/>
      <c r="H72" s="111"/>
      <c r="I72" s="111"/>
    </row>
    <row r="73" ht="14.25" customHeight="1">
      <c r="B73" s="300" t="s">
        <v>525</v>
      </c>
      <c r="C73" s="301" t="str">
        <f>C69-C71</f>
        <v>  518,944.97 </v>
      </c>
      <c r="D73" s="111"/>
      <c r="E73" s="111"/>
      <c r="F73" s="111"/>
      <c r="G73" s="111"/>
      <c r="H73" s="111"/>
      <c r="I73" s="111"/>
    </row>
    <row r="74" ht="14.25" customHeight="1"/>
    <row r="75" ht="34.5" customHeight="1">
      <c r="B75" s="215" t="s">
        <v>526</v>
      </c>
    </row>
    <row r="76" ht="14.25" customHeight="1">
      <c r="B76" s="25" t="s">
        <v>527</v>
      </c>
    </row>
    <row r="77" ht="14.25" customHeight="1">
      <c r="B77" s="111"/>
      <c r="C77" s="111"/>
      <c r="D77" s="111"/>
      <c r="E77" s="111"/>
      <c r="F77" s="111"/>
      <c r="G77" s="111"/>
      <c r="H77" s="111"/>
      <c r="I77" s="111"/>
    </row>
    <row r="78" ht="14.25" customHeight="1">
      <c r="B78" s="302" t="s">
        <v>190</v>
      </c>
      <c r="C78" s="302" t="s">
        <v>193</v>
      </c>
      <c r="D78" s="302" t="s">
        <v>194</v>
      </c>
      <c r="E78" s="302" t="s">
        <v>195</v>
      </c>
      <c r="F78" s="302" t="s">
        <v>196</v>
      </c>
      <c r="G78" s="302" t="s">
        <v>197</v>
      </c>
      <c r="H78" s="302" t="s">
        <v>198</v>
      </c>
      <c r="I78" s="302" t="s">
        <v>199</v>
      </c>
    </row>
    <row r="79" ht="14.25" customHeight="1">
      <c r="B79" s="303"/>
      <c r="C79" s="304"/>
      <c r="D79" s="304"/>
      <c r="E79" s="304"/>
      <c r="F79" s="304"/>
      <c r="G79" s="304"/>
      <c r="H79" s="304"/>
      <c r="I79" s="304"/>
    </row>
    <row r="80" ht="14.25" customHeight="1">
      <c r="B80" s="117" t="s">
        <v>528</v>
      </c>
      <c r="C80" s="116" t="str">
        <f>'6.Cons Profit &amp; Loss'!B51</f>
        <v>  2,757,139 </v>
      </c>
      <c r="D80" s="116" t="str">
        <f>'6.Cons Profit &amp; Loss'!C51</f>
        <v>  3,611,703 </v>
      </c>
      <c r="E80" s="116" t="str">
        <f>'6.Cons Profit &amp; Loss'!D51</f>
        <v>  4,598,342 </v>
      </c>
      <c r="F80" s="116" t="str">
        <f>'6.Cons Profit &amp; Loss'!E51</f>
        <v>  5,695,954 </v>
      </c>
      <c r="G80" s="116" t="str">
        <f>'6.Cons Profit &amp; Loss'!F51</f>
        <v>  6,911,563 </v>
      </c>
      <c r="H80" s="116" t="str">
        <f>'6.Cons Profit &amp; Loss'!G51</f>
        <v>  8,123,874 </v>
      </c>
      <c r="I80" s="116" t="str">
        <f>'6.Cons Profit &amp; Loss'!H51</f>
        <v>  9,188,865 </v>
      </c>
    </row>
    <row r="81" ht="14.25" customHeight="1">
      <c r="B81" s="73"/>
      <c r="C81" s="73"/>
      <c r="D81" s="73"/>
      <c r="E81" s="73"/>
      <c r="F81" s="73"/>
      <c r="G81" s="73"/>
      <c r="H81" s="73"/>
      <c r="I81" s="73"/>
    </row>
    <row r="82" ht="14.25" customHeight="1">
      <c r="B82" s="117" t="s">
        <v>529</v>
      </c>
      <c r="C82" s="305" t="str">
        <f>AVERAGE(C80:I80)</f>
        <v>5841062.93</v>
      </c>
      <c r="D82" s="5"/>
      <c r="E82" s="5"/>
      <c r="F82" s="5"/>
      <c r="G82" s="5"/>
      <c r="H82" s="5"/>
      <c r="I82" s="6"/>
    </row>
    <row r="83" ht="14.25" customHeight="1">
      <c r="B83" s="117" t="s">
        <v>530</v>
      </c>
      <c r="C83" s="305" t="str">
        <f>C71</f>
        <v>32338113.08</v>
      </c>
      <c r="D83" s="5"/>
      <c r="E83" s="5"/>
      <c r="F83" s="5"/>
      <c r="G83" s="5"/>
      <c r="H83" s="5"/>
      <c r="I83" s="6"/>
    </row>
    <row r="84" ht="14.25" customHeight="1">
      <c r="B84" s="73"/>
      <c r="C84" s="73"/>
      <c r="D84" s="73"/>
      <c r="E84" s="73"/>
      <c r="F84" s="73"/>
      <c r="G84" s="73"/>
      <c r="H84" s="73"/>
      <c r="I84" s="73"/>
    </row>
    <row r="85" ht="14.25" customHeight="1">
      <c r="B85" s="306" t="s">
        <v>531</v>
      </c>
      <c r="C85" s="307" t="str">
        <f>C82/C83</f>
        <v>18.06%</v>
      </c>
      <c r="D85" s="5"/>
      <c r="E85" s="5"/>
      <c r="F85" s="5"/>
      <c r="G85" s="5"/>
      <c r="H85" s="5"/>
      <c r="I85" s="6"/>
    </row>
    <row r="86" ht="14.25" customHeight="1"/>
    <row r="87" ht="14.25" customHeight="1"/>
    <row r="88" ht="14.25" customHeight="1">
      <c r="B88" s="308" t="s">
        <v>532</v>
      </c>
    </row>
    <row r="89" ht="14.25" customHeight="1"/>
    <row r="90" ht="14.25" customHeight="1">
      <c r="B90" s="25" t="s">
        <v>533</v>
      </c>
    </row>
    <row r="91" ht="14.25" customHeight="1"/>
    <row r="92" ht="14.25" customHeight="1">
      <c r="B92" s="292" t="s">
        <v>190</v>
      </c>
      <c r="C92" s="292" t="s">
        <v>496</v>
      </c>
      <c r="D92" s="292" t="s">
        <v>193</v>
      </c>
      <c r="E92" s="292" t="s">
        <v>194</v>
      </c>
      <c r="F92" s="292" t="s">
        <v>195</v>
      </c>
      <c r="G92" s="292" t="s">
        <v>196</v>
      </c>
      <c r="H92" s="292" t="s">
        <v>197</v>
      </c>
      <c r="I92" s="292" t="s">
        <v>198</v>
      </c>
      <c r="J92" s="292" t="s">
        <v>199</v>
      </c>
    </row>
    <row r="93" ht="14.25" customHeight="1">
      <c r="B93" s="309"/>
      <c r="C93" s="309"/>
      <c r="D93" s="310"/>
      <c r="E93" s="310"/>
      <c r="F93" s="310"/>
      <c r="G93" s="310"/>
      <c r="H93" s="310"/>
      <c r="I93" s="310"/>
      <c r="J93" s="310"/>
    </row>
    <row r="94" ht="14.25" customHeight="1">
      <c r="B94" s="85" t="s">
        <v>534</v>
      </c>
      <c r="C94" s="311" t="str">
        <f>C83</f>
        <v>  32,338,113 </v>
      </c>
      <c r="D94" s="310"/>
      <c r="E94" s="310"/>
      <c r="F94" s="310"/>
      <c r="G94" s="310"/>
      <c r="H94" s="310"/>
      <c r="I94" s="310"/>
      <c r="J94" s="310"/>
    </row>
    <row r="95" ht="14.25" customHeight="1">
      <c r="B95" s="85" t="str">
        <f>B58</f>
        <v>Profit after Tax &amp; Dividend</v>
      </c>
      <c r="C95" s="85"/>
      <c r="D95" s="168" t="str">
        <f>'6.Cons Profit &amp; Loss'!B51</f>
        <v>  2,757,139 </v>
      </c>
      <c r="E95" s="168" t="str">
        <f>'6.Cons Profit &amp; Loss'!C51</f>
        <v>  3,611,703 </v>
      </c>
      <c r="F95" s="168" t="str">
        <f>'6.Cons Profit &amp; Loss'!D51</f>
        <v>  4,598,342 </v>
      </c>
      <c r="G95" s="168" t="str">
        <f>'6.Cons Profit &amp; Loss'!E51</f>
        <v>  5,695,954 </v>
      </c>
      <c r="H95" s="168" t="str">
        <f>'6.Cons Profit &amp; Loss'!F51</f>
        <v>  6,911,563 </v>
      </c>
      <c r="I95" s="168" t="str">
        <f>'6.Cons Profit &amp; Loss'!G51</f>
        <v>  8,123,874 </v>
      </c>
      <c r="J95" s="168" t="str">
        <f>'6.Cons Profit &amp; Loss'!H51</f>
        <v>  9,188,865 </v>
      </c>
    </row>
    <row r="96" ht="14.25" customHeight="1">
      <c r="B96" s="85" t="str">
        <f t="shared" ref="B96:B97" si="11">B60</f>
        <v>Add: Deprication</v>
      </c>
      <c r="C96" s="85"/>
      <c r="D96" s="168" t="str">
        <f>'6.Cons Profit &amp; Loss'!B42</f>
        <v>  1,203,736 </v>
      </c>
      <c r="E96" s="168" t="str">
        <f>'6.Cons Profit &amp; Loss'!C42</f>
        <v>  1,203,736 </v>
      </c>
      <c r="F96" s="168" t="str">
        <f>'6.Cons Profit &amp; Loss'!D42</f>
        <v>  1,203,736 </v>
      </c>
      <c r="G96" s="168" t="str">
        <f>'6.Cons Profit &amp; Loss'!E42</f>
        <v>  1,203,736 </v>
      </c>
      <c r="H96" s="168" t="str">
        <f>'6.Cons Profit &amp; Loss'!F42</f>
        <v>  1,203,736 </v>
      </c>
      <c r="I96" s="168" t="str">
        <f>'6.Cons Profit &amp; Loss'!G42</f>
        <v>  1,203,736 </v>
      </c>
      <c r="J96" s="168" t="str">
        <f>'6.Cons Profit &amp; Loss'!H42</f>
        <v>  1,203,736 </v>
      </c>
    </row>
    <row r="97" ht="14.25" customHeight="1">
      <c r="B97" s="85" t="str">
        <f t="shared" si="11"/>
        <v>Add. Preliminary exp Written off</v>
      </c>
      <c r="C97" s="85"/>
      <c r="D97" s="168" t="str">
        <f>'6.Cons Profit &amp; Loss'!B43</f>
        <v>  149,729 </v>
      </c>
      <c r="E97" s="168" t="str">
        <f>'6.Cons Profit &amp; Loss'!C43</f>
        <v>  149,729 </v>
      </c>
      <c r="F97" s="168" t="str">
        <f>'6.Cons Profit &amp; Loss'!D43</f>
        <v>  149,729 </v>
      </c>
      <c r="G97" s="168" t="str">
        <f>'6.Cons Profit &amp; Loss'!E43</f>
        <v>  149,729 </v>
      </c>
      <c r="H97" s="168" t="str">
        <f>'6.Cons Profit &amp; Loss'!F43</f>
        <v>  149,729 </v>
      </c>
      <c r="I97" s="168" t="str">
        <f>'6.Cons Profit &amp; Loss'!G43</f>
        <v>  -   </v>
      </c>
      <c r="J97" s="168" t="str">
        <f>'6.Cons Profit &amp; Loss'!H43</f>
        <v>  -   </v>
      </c>
    </row>
    <row r="98" ht="14.25" customHeight="1">
      <c r="B98" s="85" t="str">
        <f>B63</f>
        <v>Net Cash Accrual (A)      </v>
      </c>
      <c r="C98" s="85"/>
      <c r="D98" s="168" t="str">
        <f t="shared" ref="D98:J98" si="12">SUM(D95:D97)</f>
        <v>  4,110,604 </v>
      </c>
      <c r="E98" s="168" t="str">
        <f t="shared" si="12"/>
        <v>  4,965,168 </v>
      </c>
      <c r="F98" s="168" t="str">
        <f t="shared" si="12"/>
        <v>  5,951,807 </v>
      </c>
      <c r="G98" s="168" t="str">
        <f t="shared" si="12"/>
        <v>  7,049,419 </v>
      </c>
      <c r="H98" s="168" t="str">
        <f t="shared" si="12"/>
        <v>  8,265,028 </v>
      </c>
      <c r="I98" s="168" t="str">
        <f t="shared" si="12"/>
        <v>  9,327,610 </v>
      </c>
      <c r="J98" s="168" t="str">
        <f t="shared" si="12"/>
        <v>  10,392,600 </v>
      </c>
    </row>
    <row r="99" ht="14.25" customHeight="1">
      <c r="B99" s="85" t="s">
        <v>535</v>
      </c>
      <c r="C99" s="312"/>
      <c r="D99" s="313" t="str">
        <f>D98-C94</f>
        <v>  (28,227,509)</v>
      </c>
      <c r="E99" s="313" t="str">
        <f t="shared" ref="E99:J99" si="13">D99+E98</f>
        <v>  (23,262,342)</v>
      </c>
      <c r="F99" s="313" t="str">
        <f t="shared" si="13"/>
        <v>  (17,310,535)</v>
      </c>
      <c r="G99" s="313" t="str">
        <f t="shared" si="13"/>
        <v>  (10,261,115)</v>
      </c>
      <c r="H99" s="313" t="str">
        <f t="shared" si="13"/>
        <v>  (1,996,087)</v>
      </c>
      <c r="I99" s="313" t="str">
        <f t="shared" si="13"/>
        <v>  7,331,523 </v>
      </c>
      <c r="J99" s="313" t="str">
        <f t="shared" si="13"/>
        <v>  17,724,123 </v>
      </c>
    </row>
    <row r="100" ht="14.25" customHeight="1"/>
    <row r="101" ht="14.25" customHeight="1">
      <c r="B101" s="119" t="s">
        <v>536</v>
      </c>
      <c r="D101" s="314" t="str">
        <f>4+(-G99/H98)</f>
        <v>5.24</v>
      </c>
    </row>
    <row r="102" ht="14.25" customHeight="1"/>
    <row r="103" ht="14.25" customHeight="1">
      <c r="B103" s="308" t="s">
        <v>537</v>
      </c>
    </row>
    <row r="104" ht="14.25" customHeight="1"/>
    <row r="105" ht="14.25" customHeight="1">
      <c r="B105" s="25" t="s">
        <v>538</v>
      </c>
    </row>
    <row r="106" ht="14.25" customHeight="1"/>
    <row r="107" ht="14.25" customHeight="1">
      <c r="B107" s="302" t="s">
        <v>190</v>
      </c>
      <c r="C107" s="302" t="s">
        <v>193</v>
      </c>
      <c r="D107" s="302" t="s">
        <v>194</v>
      </c>
      <c r="E107" s="302" t="s">
        <v>195</v>
      </c>
      <c r="F107" s="302" t="s">
        <v>196</v>
      </c>
      <c r="G107" s="302" t="s">
        <v>197</v>
      </c>
      <c r="H107" s="302" t="s">
        <v>198</v>
      </c>
      <c r="I107" s="302" t="s">
        <v>199</v>
      </c>
    </row>
    <row r="108" ht="14.25" customHeight="1">
      <c r="B108" s="303"/>
      <c r="C108" s="304"/>
      <c r="D108" s="304"/>
      <c r="E108" s="304"/>
      <c r="F108" s="304"/>
      <c r="G108" s="304"/>
      <c r="H108" s="304"/>
      <c r="I108" s="304"/>
    </row>
    <row r="109" ht="14.25" customHeight="1">
      <c r="B109" s="73" t="s">
        <v>539</v>
      </c>
      <c r="C109" s="116" t="str">
        <f>'6.Cons Profit &amp; Loss'!B40</f>
        <v>  5,488,853 </v>
      </c>
      <c r="D109" s="116" t="str">
        <f>'6.Cons Profit &amp; Loss'!C40</f>
        <v>  6,648,065 </v>
      </c>
      <c r="E109" s="116" t="str">
        <f>'6.Cons Profit &amp; Loss'!D40</f>
        <v>  7,893,139 </v>
      </c>
      <c r="F109" s="116" t="str">
        <f>'6.Cons Profit &amp; Loss'!E40</f>
        <v>  9,246,101 </v>
      </c>
      <c r="G109" s="116" t="str">
        <f>'6.Cons Profit &amp; Loss'!F40</f>
        <v>  10,714,625 </v>
      </c>
      <c r="H109" s="116" t="str">
        <f>'6.Cons Profit &amp; Loss'!G40</f>
        <v>  12,140,102 </v>
      </c>
      <c r="I109" s="116" t="str">
        <f>'6.Cons Profit &amp; Loss'!H40</f>
        <v>  13,681,341 </v>
      </c>
    </row>
    <row r="110" ht="14.25" customHeight="1">
      <c r="B110" s="117" t="s">
        <v>88</v>
      </c>
      <c r="C110" s="118" t="str">
        <f t="shared" ref="C110:I110" si="14">SUM(C109)</f>
        <v>  5,488,853 </v>
      </c>
      <c r="D110" s="118" t="str">
        <f t="shared" si="14"/>
        <v>  6,648,065 </v>
      </c>
      <c r="E110" s="118" t="str">
        <f t="shared" si="14"/>
        <v>  7,893,139 </v>
      </c>
      <c r="F110" s="118" t="str">
        <f t="shared" si="14"/>
        <v>  9,246,101 </v>
      </c>
      <c r="G110" s="118" t="str">
        <f t="shared" si="14"/>
        <v>  10,714,625 </v>
      </c>
      <c r="H110" s="118" t="str">
        <f t="shared" si="14"/>
        <v>  12,140,102 </v>
      </c>
      <c r="I110" s="118" t="str">
        <f t="shared" si="14"/>
        <v>  13,681,341 </v>
      </c>
    </row>
    <row r="111" ht="14.25" customHeight="1">
      <c r="B111" s="73"/>
      <c r="C111" s="73"/>
      <c r="D111" s="73"/>
      <c r="E111" s="73"/>
      <c r="F111" s="73"/>
      <c r="G111" s="73"/>
      <c r="H111" s="73"/>
      <c r="I111" s="73"/>
    </row>
    <row r="112" ht="14.25" customHeight="1">
      <c r="B112" s="73" t="s">
        <v>540</v>
      </c>
      <c r="C112" s="118" t="str">
        <f>'8.Cash Flow '!C26+'8.Cash Flow '!C27</f>
        <v>  1,970,643 </v>
      </c>
      <c r="D112" s="118" t="str">
        <f>'8.Cash Flow '!D26+'8.Cash Flow '!D27</f>
        <v>  2,784,011 </v>
      </c>
      <c r="E112" s="118" t="str">
        <f>'8.Cash Flow '!E26+'8.Cash Flow '!E27</f>
        <v>  2,784,011 </v>
      </c>
      <c r="F112" s="118" t="str">
        <f>'8.Cash Flow '!F26+'8.Cash Flow '!F27</f>
        <v>  2,784,011 </v>
      </c>
      <c r="G112" s="118" t="str">
        <f>'8.Cash Flow '!G26+'8.Cash Flow '!G27</f>
        <v>  2,784,011 </v>
      </c>
      <c r="H112" s="118" t="str">
        <f>'8.Cash Flow '!H26+'8.Cash Flow '!H27</f>
        <v>  -   </v>
      </c>
      <c r="I112" s="118" t="str">
        <f>'8.Cash Flow '!I26+'8.Cash Flow '!I27</f>
        <v>  -   </v>
      </c>
    </row>
    <row r="113" ht="14.25" customHeight="1">
      <c r="B113" s="73"/>
      <c r="C113" s="73"/>
      <c r="D113" s="73"/>
      <c r="E113" s="73"/>
      <c r="F113" s="73"/>
      <c r="G113" s="73"/>
      <c r="H113" s="73"/>
      <c r="I113" s="73"/>
    </row>
    <row r="114" ht="14.25" customHeight="1">
      <c r="B114" s="117" t="s">
        <v>541</v>
      </c>
      <c r="C114" s="315" t="str">
        <f t="shared" ref="C114:G114" si="15">C110/C112</f>
        <v>2.79</v>
      </c>
      <c r="D114" s="315" t="str">
        <f t="shared" si="15"/>
        <v>2.39</v>
      </c>
      <c r="E114" s="315" t="str">
        <f t="shared" si="15"/>
        <v>2.84</v>
      </c>
      <c r="F114" s="315" t="str">
        <f t="shared" si="15"/>
        <v>3.32</v>
      </c>
      <c r="G114" s="315" t="str">
        <f t="shared" si="15"/>
        <v>3.85</v>
      </c>
      <c r="H114" s="315"/>
      <c r="I114" s="315"/>
    </row>
    <row r="115" ht="14.25" customHeight="1">
      <c r="B115" s="111"/>
      <c r="C115" s="111"/>
      <c r="D115" s="111"/>
      <c r="E115" s="111"/>
      <c r="F115" s="111"/>
      <c r="G115" s="111"/>
      <c r="H115" s="111"/>
      <c r="I115" s="111"/>
    </row>
    <row r="116" ht="14.25" customHeight="1">
      <c r="B116" s="111" t="s">
        <v>542</v>
      </c>
      <c r="C116" s="195" t="str">
        <f>AVERAGE(C114:I114)</f>
        <v>3.04</v>
      </c>
      <c r="D116" s="111"/>
      <c r="E116" s="111"/>
      <c r="F116" s="111"/>
      <c r="G116" s="111"/>
      <c r="H116" s="111"/>
      <c r="I116" s="111"/>
    </row>
    <row r="117" ht="14.25" customHeight="1"/>
    <row r="118" ht="29.25" customHeight="1">
      <c r="B118" s="215" t="s">
        <v>543</v>
      </c>
    </row>
    <row r="119" ht="14.25" customHeight="1"/>
    <row r="120" ht="14.25" customHeight="1">
      <c r="B120" s="316" t="s">
        <v>544</v>
      </c>
      <c r="C120" s="3"/>
      <c r="D120" s="3"/>
      <c r="E120" s="3"/>
      <c r="F120" s="3"/>
      <c r="G120" s="3"/>
      <c r="H120" s="3"/>
      <c r="I120" s="3"/>
      <c r="K120" s="317"/>
    </row>
    <row r="121" ht="14.25" customHeight="1">
      <c r="B121" s="198" t="s">
        <v>545</v>
      </c>
      <c r="C121" s="199" t="s">
        <v>193</v>
      </c>
      <c r="D121" s="199" t="s">
        <v>194</v>
      </c>
      <c r="E121" s="199" t="s">
        <v>195</v>
      </c>
      <c r="F121" s="199" t="s">
        <v>196</v>
      </c>
      <c r="G121" s="199" t="s">
        <v>197</v>
      </c>
      <c r="H121" s="199" t="s">
        <v>198</v>
      </c>
      <c r="I121" s="199" t="s">
        <v>199</v>
      </c>
    </row>
    <row r="122" ht="14.25" customHeight="1">
      <c r="B122" s="155" t="str">
        <f>'6.Cons Profit &amp; Loss'!A8</f>
        <v>Activity 1 - Cleaning &amp; Grading</v>
      </c>
      <c r="C122" s="318" t="str">
        <f>'6.Cons Profit &amp; Loss'!B8*(1+$M$123)</f>
        <v>  -   </v>
      </c>
      <c r="D122" s="318" t="str">
        <f>'6.Cons Profit &amp; Loss'!C8*(1+$M$123)</f>
        <v>  -   </v>
      </c>
      <c r="E122" s="318" t="str">
        <f>'6.Cons Profit &amp; Loss'!D8*(1+$M$123)</f>
        <v>  -   </v>
      </c>
      <c r="F122" s="318" t="str">
        <f>'6.Cons Profit &amp; Loss'!E8*(1+$M$123)</f>
        <v>  -   </v>
      </c>
      <c r="G122" s="318" t="str">
        <f>'6.Cons Profit &amp; Loss'!F8*(1+$M$123)</f>
        <v>  -   </v>
      </c>
      <c r="H122" s="318" t="str">
        <f>'6.Cons Profit &amp; Loss'!G8*(1+$M$123)</f>
        <v>  -   </v>
      </c>
      <c r="I122" s="318" t="str">
        <f>'6.Cons Profit &amp; Loss'!H8*(1+$M$123)</f>
        <v>  -   </v>
      </c>
    </row>
    <row r="123" ht="14.25" customHeight="1">
      <c r="B123" s="155" t="str">
        <f>'6.Cons Profit &amp; Loss'!A9</f>
        <v>Activity 1 - Dal Mill</v>
      </c>
      <c r="C123" s="318" t="str">
        <f>'6.Cons Profit &amp; Loss'!B9*(1+$M$123)</f>
        <v>  17,093,438 </v>
      </c>
      <c r="D123" s="318" t="str">
        <f>'6.Cons Profit &amp; Loss'!C9*(1+$M$123)</f>
        <v>  21,218,662 </v>
      </c>
      <c r="E123" s="318" t="str">
        <f>'6.Cons Profit &amp; Loss'!D9*(1+$M$123)</f>
        <v>  25,469,374 </v>
      </c>
      <c r="F123" s="318" t="str">
        <f>'6.Cons Profit &amp; Loss'!E9*(1+$M$123)</f>
        <v>  30,092,111 </v>
      </c>
      <c r="G123" s="318" t="str">
        <f>'6.Cons Profit &amp; Loss'!F9*(1+$M$123)</f>
        <v>  35,113,448 </v>
      </c>
      <c r="H123" s="318" t="str">
        <f>'6.Cons Profit &amp; Loss'!G9*(1+$M$123)</f>
        <v>  40,561,689 </v>
      </c>
      <c r="I123" s="318" t="str">
        <f>'6.Cons Profit &amp; Loss'!H9*(1+$M$123)</f>
        <v>  46,466,970 </v>
      </c>
      <c r="L123" s="119" t="s">
        <v>546</v>
      </c>
      <c r="M123" s="319">
        <v>0.05</v>
      </c>
    </row>
    <row r="124" ht="14.25" customHeight="1">
      <c r="B124" s="155" t="str">
        <f>'6.Cons Profit &amp; Loss'!A10</f>
        <v>Activity 2 - Warehouse</v>
      </c>
      <c r="C124" s="318" t="str">
        <f>'6.Cons Profit &amp; Loss'!B10*(1+$M$123)</f>
        <v>  2,395,008 </v>
      </c>
      <c r="D124" s="318" t="str">
        <f>'6.Cons Profit &amp; Loss'!C10*(1+$M$123)</f>
        <v>  2,671,931 </v>
      </c>
      <c r="E124" s="318" t="str">
        <f>'6.Cons Profit &amp; Loss'!D10*(1+$M$123)</f>
        <v>  2,970,558 </v>
      </c>
      <c r="F124" s="318" t="str">
        <f>'6.Cons Profit &amp; Loss'!E10*(1+$M$123)</f>
        <v>  3,292,369 </v>
      </c>
      <c r="G124" s="318" t="str">
        <f>'6.Cons Profit &amp; Loss'!F10*(1+$M$123)</f>
        <v>  3,638,934 </v>
      </c>
      <c r="H124" s="318" t="str">
        <f>'6.Cons Profit &amp; Loss'!G10*(1+$M$123)</f>
        <v>  3,820,881 </v>
      </c>
      <c r="I124" s="318" t="str">
        <f>'6.Cons Profit &amp; Loss'!H10*(1+$M$123)</f>
        <v>  4,011,925 </v>
      </c>
      <c r="L124" s="119" t="s">
        <v>547</v>
      </c>
      <c r="M124" s="319">
        <v>0.05</v>
      </c>
    </row>
    <row r="125" ht="14.25" customHeight="1">
      <c r="B125" s="155" t="str">
        <f>'6.Cons Profit &amp; Loss'!A11</f>
        <v>Activity 3 - Custom Hiring </v>
      </c>
      <c r="C125" s="318" t="str">
        <f>'6.Cons Profit &amp; Loss'!B11*(1+$M$123)</f>
        <v>  2,158,800 </v>
      </c>
      <c r="D125" s="318" t="str">
        <f>'6.Cons Profit &amp; Loss'!C11*(1+$M$123)</f>
        <v>  2,266,740 </v>
      </c>
      <c r="E125" s="318" t="str">
        <f>'6.Cons Profit &amp; Loss'!D11*(1+$M$123)</f>
        <v>  2,380,077 </v>
      </c>
      <c r="F125" s="318" t="str">
        <f>'6.Cons Profit &amp; Loss'!E11*(1+$M$123)</f>
        <v>  2,499,081 </v>
      </c>
      <c r="G125" s="318" t="str">
        <f>'6.Cons Profit &amp; Loss'!F11*(1+$M$123)</f>
        <v>  2,624,035 </v>
      </c>
      <c r="H125" s="318" t="str">
        <f>'6.Cons Profit &amp; Loss'!G11*(1+$M$123)</f>
        <v>  2,755,237 </v>
      </c>
      <c r="I125" s="318" t="str">
        <f>'6.Cons Profit &amp; Loss'!H11*(1+$M$123)</f>
        <v>  2,892,998 </v>
      </c>
    </row>
    <row r="126" ht="14.25" customHeight="1">
      <c r="B126" s="155" t="str">
        <f>'6.Cons Profit &amp; Loss'!A12</f>
        <v>Activity 4 - Agri Input Centre</v>
      </c>
      <c r="C126" s="318" t="str">
        <f>'6.Cons Profit &amp; Loss'!B12*(1+$M$123)</f>
        <v>  -   </v>
      </c>
      <c r="D126" s="318" t="str">
        <f>'6.Cons Profit &amp; Loss'!C12*(1+$M$123)</f>
        <v>  -   </v>
      </c>
      <c r="E126" s="318" t="str">
        <f>'6.Cons Profit &amp; Loss'!D12*(1+$M$123)</f>
        <v>  -   </v>
      </c>
      <c r="F126" s="318" t="str">
        <f>'6.Cons Profit &amp; Loss'!E12*(1+$M$123)</f>
        <v>  -   </v>
      </c>
      <c r="G126" s="318" t="str">
        <f>'6.Cons Profit &amp; Loss'!F12*(1+$M$123)</f>
        <v>  -   </v>
      </c>
      <c r="H126" s="318" t="str">
        <f>'6.Cons Profit &amp; Loss'!G12*(1+$M$123)</f>
        <v>  -   </v>
      </c>
      <c r="I126" s="318" t="str">
        <f>'6.Cons Profit &amp; Loss'!H12*(1+$M$123)</f>
        <v>  -   </v>
      </c>
      <c r="K126" s="228"/>
    </row>
    <row r="127" ht="14.25" customHeight="1">
      <c r="B127" s="155" t="str">
        <f>'6.Cons Profit &amp; Loss'!A13</f>
        <v>Facility 6 - Processing Unit - Horti Commodity</v>
      </c>
      <c r="C127" s="318" t="str">
        <f>'6.Cons Profit &amp; Loss'!B13*(1+$M$123)</f>
        <v>  -   </v>
      </c>
      <c r="D127" s="318" t="str">
        <f>'6.Cons Profit &amp; Loss'!C13*(1+$M$123)</f>
        <v>  -   </v>
      </c>
      <c r="E127" s="318" t="str">
        <f>'6.Cons Profit &amp; Loss'!D13*(1+$M$123)</f>
        <v>  -   </v>
      </c>
      <c r="F127" s="318" t="str">
        <f>'6.Cons Profit &amp; Loss'!E13*(1+$M$123)</f>
        <v>  -   </v>
      </c>
      <c r="G127" s="318" t="str">
        <f>'6.Cons Profit &amp; Loss'!F13*(1+$M$123)</f>
        <v>  -   </v>
      </c>
      <c r="H127" s="318" t="str">
        <f>'6.Cons Profit &amp; Loss'!G13*(1+$M$123)</f>
        <v>  -   </v>
      </c>
      <c r="I127" s="318" t="str">
        <f>'6.Cons Profit &amp; Loss'!H13*(1+$M$123)</f>
        <v>  -   </v>
      </c>
    </row>
    <row r="128" ht="14.25" customHeight="1">
      <c r="B128" s="155" t="str">
        <f>'6.Cons Profit &amp; Loss'!A14</f>
        <v/>
      </c>
      <c r="C128" s="318" t="str">
        <f>'6.Cons Profit &amp; Loss'!B14*(1+$M$123)</f>
        <v>  -   </v>
      </c>
      <c r="D128" s="318" t="str">
        <f>'6.Cons Profit &amp; Loss'!C14*(1+$M$123)</f>
        <v>  -   </v>
      </c>
      <c r="E128" s="318" t="str">
        <f>'6.Cons Profit &amp; Loss'!D14*(1+$M$123)</f>
        <v>  -   </v>
      </c>
      <c r="F128" s="318" t="str">
        <f>'6.Cons Profit &amp; Loss'!E14*(1+$M$123)</f>
        <v>  -   </v>
      </c>
      <c r="G128" s="318" t="str">
        <f>'6.Cons Profit &amp; Loss'!F14*(1+$M$123)</f>
        <v>  -   </v>
      </c>
      <c r="H128" s="318" t="str">
        <f>'6.Cons Profit &amp; Loss'!G14*(1+$M$123)</f>
        <v>  -   </v>
      </c>
      <c r="I128" s="318" t="str">
        <f>'6.Cons Profit &amp; Loss'!H14*(1+$M$123)</f>
        <v>  -   </v>
      </c>
    </row>
    <row r="129" ht="14.25" customHeight="1">
      <c r="B129" s="155" t="s">
        <v>548</v>
      </c>
      <c r="C129" s="318" t="str">
        <f t="shared" ref="C129:I129" si="16">SUM(C122:C128)</f>
        <v>  21,647,246 </v>
      </c>
      <c r="D129" s="318" t="str">
        <f t="shared" si="16"/>
        <v>  26,157,333 </v>
      </c>
      <c r="E129" s="318" t="str">
        <f t="shared" si="16"/>
        <v>  30,820,009 </v>
      </c>
      <c r="F129" s="318" t="str">
        <f t="shared" si="16"/>
        <v>  35,883,561 </v>
      </c>
      <c r="G129" s="318" t="str">
        <f t="shared" si="16"/>
        <v>  41,376,417 </v>
      </c>
      <c r="H129" s="318" t="str">
        <f t="shared" si="16"/>
        <v>  47,137,806 </v>
      </c>
      <c r="I129" s="318" t="str">
        <f t="shared" si="16"/>
        <v>  53,371,893 </v>
      </c>
    </row>
    <row r="130" ht="14.25" customHeight="1">
      <c r="B130" s="155" t="s">
        <v>549</v>
      </c>
      <c r="C130" s="318"/>
      <c r="D130" s="318"/>
      <c r="E130" s="318"/>
      <c r="F130" s="318"/>
      <c r="G130" s="318"/>
      <c r="H130" s="318"/>
      <c r="I130" s="318"/>
    </row>
    <row r="131" ht="14.25" customHeight="1">
      <c r="B131" s="155" t="s">
        <v>550</v>
      </c>
      <c r="C131" s="318" t="str">
        <f>'6.Cons Profit &amp; Loss'!B36</f>
        <v>  1,204,000 </v>
      </c>
      <c r="D131" s="318" t="str">
        <f>'6.Cons Profit &amp; Loss'!C36</f>
        <v>  1,264,200 </v>
      </c>
      <c r="E131" s="318" t="str">
        <f>'6.Cons Profit &amp; Loss'!D36</f>
        <v>  1,327,410 </v>
      </c>
      <c r="F131" s="318" t="str">
        <f>'6.Cons Profit &amp; Loss'!E36</f>
        <v>  1,393,781 </v>
      </c>
      <c r="G131" s="318" t="str">
        <f>'6.Cons Profit &amp; Loss'!F36</f>
        <v>  1,463,470 </v>
      </c>
      <c r="H131" s="318" t="str">
        <f>'6.Cons Profit &amp; Loss'!G36</f>
        <v>  1,536,643 </v>
      </c>
      <c r="I131" s="318" t="str">
        <f>'6.Cons Profit &amp; Loss'!H36</f>
        <v>  1,613,475 </v>
      </c>
    </row>
    <row r="132" ht="14.25" customHeight="1">
      <c r="B132" s="155" t="s">
        <v>412</v>
      </c>
      <c r="C132" s="318" t="str">
        <f>'6.Cons Profit &amp; Loss'!B25*(1+M123)</f>
        <v>  14,619,751 </v>
      </c>
      <c r="D132" s="318" t="str">
        <f>'6.Cons Profit &amp; Loss'!C25*(1+N123)</f>
        <v>  16,999,480 </v>
      </c>
      <c r="E132" s="318" t="str">
        <f>'6.Cons Profit &amp; Loss'!D25*(1+O123)</f>
        <v>  20,131,840 </v>
      </c>
      <c r="F132" s="318" t="str">
        <f>'6.Cons Profit &amp; Loss'!E25*(1+P123)</f>
        <v>  23,534,939 </v>
      </c>
      <c r="G132" s="318" t="str">
        <f>'6.Cons Profit &amp; Loss'!F25*(1+Q123)</f>
        <v>  27,228,017 </v>
      </c>
      <c r="H132" s="318" t="str">
        <f>'6.Cons Profit &amp; Loss'!G25*(1+R123)</f>
        <v>  31,216,403 </v>
      </c>
      <c r="I132" s="318" t="str">
        <f>'6.Cons Profit &amp; Loss'!H25*(1+S123)</f>
        <v>  35,535,558 </v>
      </c>
    </row>
    <row r="133" ht="14.25" customHeight="1">
      <c r="B133" s="155" t="s">
        <v>551</v>
      </c>
      <c r="C133" s="318" t="str">
        <f t="shared" ref="C133:I133" si="17">SUM(C131:C132)</f>
        <v>  15,823,751 </v>
      </c>
      <c r="D133" s="318" t="str">
        <f t="shared" si="17"/>
        <v>  18,263,680 </v>
      </c>
      <c r="E133" s="318" t="str">
        <f t="shared" si="17"/>
        <v>  21,459,250 </v>
      </c>
      <c r="F133" s="318" t="str">
        <f t="shared" si="17"/>
        <v>  24,928,719 </v>
      </c>
      <c r="G133" s="318" t="str">
        <f t="shared" si="17"/>
        <v>  28,691,486 </v>
      </c>
      <c r="H133" s="318" t="str">
        <f t="shared" si="17"/>
        <v>  32,753,046 </v>
      </c>
      <c r="I133" s="318" t="str">
        <f t="shared" si="17"/>
        <v>  37,149,034 </v>
      </c>
    </row>
    <row r="134" ht="14.25" customHeight="1">
      <c r="B134" s="158" t="s">
        <v>552</v>
      </c>
      <c r="C134" s="320" t="str">
        <f t="shared" ref="C134:I134" si="18">+C129-C133</f>
        <v>  5,823,496 </v>
      </c>
      <c r="D134" s="320" t="str">
        <f t="shared" si="18"/>
        <v>  7,893,653 </v>
      </c>
      <c r="E134" s="320" t="str">
        <f t="shared" si="18"/>
        <v>  9,360,759 </v>
      </c>
      <c r="F134" s="320" t="str">
        <f t="shared" si="18"/>
        <v>  10,954,842 </v>
      </c>
      <c r="G134" s="320" t="str">
        <f t="shared" si="18"/>
        <v>  12,684,931 </v>
      </c>
      <c r="H134" s="320" t="str">
        <f t="shared" si="18"/>
        <v>  14,384,760 </v>
      </c>
      <c r="I134" s="320" t="str">
        <f t="shared" si="18"/>
        <v>  16,222,859 </v>
      </c>
    </row>
    <row r="135" ht="14.25" customHeight="1">
      <c r="B135" s="288"/>
      <c r="C135" s="321"/>
      <c r="D135" s="321"/>
      <c r="E135" s="321"/>
      <c r="F135" s="321"/>
      <c r="G135" s="321"/>
      <c r="H135" s="321"/>
      <c r="I135" s="321"/>
    </row>
    <row r="136" ht="14.25" customHeight="1">
      <c r="B136" s="198" t="s">
        <v>553</v>
      </c>
      <c r="C136" s="199" t="s">
        <v>193</v>
      </c>
      <c r="D136" s="199" t="s">
        <v>194</v>
      </c>
      <c r="E136" s="199" t="s">
        <v>195</v>
      </c>
      <c r="F136" s="199" t="s">
        <v>196</v>
      </c>
      <c r="G136" s="199" t="s">
        <v>197</v>
      </c>
      <c r="H136" s="199" t="s">
        <v>198</v>
      </c>
      <c r="I136" s="199" t="s">
        <v>199</v>
      </c>
    </row>
    <row r="137" ht="14.25" customHeight="1">
      <c r="B137" s="155" t="str">
        <f t="shared" ref="B137:B143" si="19">B122</f>
        <v>Activity 1 - Cleaning &amp; Grading</v>
      </c>
      <c r="C137" s="322" t="str">
        <f>'6.Cons Profit &amp; Loss'!B8</f>
        <v>  -   </v>
      </c>
      <c r="D137" s="322" t="str">
        <f>'6.Cons Profit &amp; Loss'!C8</f>
        <v>  -   </v>
      </c>
      <c r="E137" s="322" t="str">
        <f>'6.Cons Profit &amp; Loss'!D8</f>
        <v>  -   </v>
      </c>
      <c r="F137" s="322" t="str">
        <f>'6.Cons Profit &amp; Loss'!E8</f>
        <v>  -   </v>
      </c>
      <c r="G137" s="322" t="str">
        <f>'6.Cons Profit &amp; Loss'!F8</f>
        <v>  -   </v>
      </c>
      <c r="H137" s="322" t="str">
        <f>'6.Cons Profit &amp; Loss'!G8</f>
        <v>  -   </v>
      </c>
      <c r="I137" s="322" t="str">
        <f>'6.Cons Profit &amp; Loss'!H8</f>
        <v>  -   </v>
      </c>
    </row>
    <row r="138" ht="14.25" customHeight="1">
      <c r="B138" s="155" t="str">
        <f t="shared" si="19"/>
        <v>Activity 1 - Dal Mill</v>
      </c>
      <c r="C138" s="322" t="str">
        <f>'6.Cons Profit &amp; Loss'!B9</f>
        <v>  16,279,465 </v>
      </c>
      <c r="D138" s="322" t="str">
        <f>'6.Cons Profit &amp; Loss'!C9</f>
        <v>  20,208,249 </v>
      </c>
      <c r="E138" s="322" t="str">
        <f>'6.Cons Profit &amp; Loss'!D9</f>
        <v>  24,256,547 </v>
      </c>
      <c r="F138" s="322" t="str">
        <f>'6.Cons Profit &amp; Loss'!E9</f>
        <v>  28,659,153 </v>
      </c>
      <c r="G138" s="322" t="str">
        <f>'6.Cons Profit &amp; Loss'!F9</f>
        <v>  33,441,379 </v>
      </c>
      <c r="H138" s="322" t="str">
        <f>'6.Cons Profit &amp; Loss'!G9</f>
        <v>  38,630,180 </v>
      </c>
      <c r="I138" s="322" t="str">
        <f>'6.Cons Profit &amp; Loss'!H9</f>
        <v>  44,254,257 </v>
      </c>
    </row>
    <row r="139" ht="14.25" customHeight="1">
      <c r="B139" s="155" t="str">
        <f t="shared" si="19"/>
        <v>Activity 2 - Warehouse</v>
      </c>
      <c r="C139" s="322" t="str">
        <f>'6.Cons Profit &amp; Loss'!B10</f>
        <v>  2,280,960 </v>
      </c>
      <c r="D139" s="322" t="str">
        <f>'6.Cons Profit &amp; Loss'!C10</f>
        <v>  2,544,696 </v>
      </c>
      <c r="E139" s="322" t="str">
        <f>'6.Cons Profit &amp; Loss'!D10</f>
        <v>  2,829,103 </v>
      </c>
      <c r="F139" s="322" t="str">
        <f>'6.Cons Profit &amp; Loss'!E10</f>
        <v>  3,135,589 </v>
      </c>
      <c r="G139" s="322" t="str">
        <f>'6.Cons Profit &amp; Loss'!F10</f>
        <v>  3,465,651 </v>
      </c>
      <c r="H139" s="322" t="str">
        <f>'6.Cons Profit &amp; Loss'!G10</f>
        <v>  3,638,934 </v>
      </c>
      <c r="I139" s="322" t="str">
        <f>'6.Cons Profit &amp; Loss'!H10</f>
        <v>  3,820,881 </v>
      </c>
    </row>
    <row r="140" ht="14.25" customHeight="1">
      <c r="B140" s="155" t="str">
        <f t="shared" si="19"/>
        <v>Activity 3 - Custom Hiring </v>
      </c>
      <c r="C140" s="322" t="str">
        <f>'6.Cons Profit &amp; Loss'!B11</f>
        <v>  2,056,000 </v>
      </c>
      <c r="D140" s="322" t="str">
        <f>'6.Cons Profit &amp; Loss'!C11</f>
        <v>  2,158,800 </v>
      </c>
      <c r="E140" s="322" t="str">
        <f>'6.Cons Profit &amp; Loss'!D11</f>
        <v>  2,266,740 </v>
      </c>
      <c r="F140" s="322" t="str">
        <f>'6.Cons Profit &amp; Loss'!E11</f>
        <v>  2,380,077 </v>
      </c>
      <c r="G140" s="322" t="str">
        <f>'6.Cons Profit &amp; Loss'!F11</f>
        <v>  2,499,081 </v>
      </c>
      <c r="H140" s="322" t="str">
        <f>'6.Cons Profit &amp; Loss'!G11</f>
        <v>  2,624,035 </v>
      </c>
      <c r="I140" s="322" t="str">
        <f>'6.Cons Profit &amp; Loss'!H11</f>
        <v>  2,755,237 </v>
      </c>
    </row>
    <row r="141" ht="14.25" customHeight="1">
      <c r="B141" s="155" t="str">
        <f t="shared" si="19"/>
        <v>Activity 4 - Agri Input Centre</v>
      </c>
      <c r="C141" s="322" t="str">
        <f>'6.Cons Profit &amp; Loss'!B12</f>
        <v>  -   </v>
      </c>
      <c r="D141" s="322" t="str">
        <f>'6.Cons Profit &amp; Loss'!C12</f>
        <v>  -   </v>
      </c>
      <c r="E141" s="322" t="str">
        <f>'6.Cons Profit &amp; Loss'!D12</f>
        <v>  -   </v>
      </c>
      <c r="F141" s="322" t="str">
        <f>'6.Cons Profit &amp; Loss'!E12</f>
        <v>  -   </v>
      </c>
      <c r="G141" s="322" t="str">
        <f>'6.Cons Profit &amp; Loss'!F12</f>
        <v>  -   </v>
      </c>
      <c r="H141" s="322" t="str">
        <f>'6.Cons Profit &amp; Loss'!G12</f>
        <v>  -   </v>
      </c>
      <c r="I141" s="322" t="str">
        <f>'6.Cons Profit &amp; Loss'!H12</f>
        <v>  -   </v>
      </c>
    </row>
    <row r="142" ht="14.25" customHeight="1">
      <c r="B142" s="155" t="str">
        <f t="shared" si="19"/>
        <v>Facility 6 - Processing Unit - Horti Commodity</v>
      </c>
      <c r="C142" s="322" t="str">
        <f>'6.Cons Profit &amp; Loss'!B13</f>
        <v>  -   </v>
      </c>
      <c r="D142" s="322" t="str">
        <f>'6.Cons Profit &amp; Loss'!C13</f>
        <v>  -   </v>
      </c>
      <c r="E142" s="322" t="str">
        <f>'6.Cons Profit &amp; Loss'!D13</f>
        <v>  -   </v>
      </c>
      <c r="F142" s="322" t="str">
        <f>'6.Cons Profit &amp; Loss'!E13</f>
        <v>  -   </v>
      </c>
      <c r="G142" s="322" t="str">
        <f>'6.Cons Profit &amp; Loss'!F13</f>
        <v>  -   </v>
      </c>
      <c r="H142" s="322" t="str">
        <f>'6.Cons Profit &amp; Loss'!G13</f>
        <v>  -   </v>
      </c>
      <c r="I142" s="322" t="str">
        <f>'6.Cons Profit &amp; Loss'!H13</f>
        <v>  -   </v>
      </c>
    </row>
    <row r="143" ht="14.25" customHeight="1">
      <c r="B143" s="155" t="str">
        <f t="shared" si="19"/>
        <v/>
      </c>
      <c r="C143" s="322" t="str">
        <f>'6.Cons Profit &amp; Loss'!B14</f>
        <v/>
      </c>
      <c r="D143" s="322" t="str">
        <f>'6.Cons Profit &amp; Loss'!C14</f>
        <v/>
      </c>
      <c r="E143" s="322" t="str">
        <f>'6.Cons Profit &amp; Loss'!D14</f>
        <v/>
      </c>
      <c r="F143" s="322" t="str">
        <f>'6.Cons Profit &amp; Loss'!E14</f>
        <v/>
      </c>
      <c r="G143" s="322" t="str">
        <f>'6.Cons Profit &amp; Loss'!F14</f>
        <v/>
      </c>
      <c r="H143" s="322" t="str">
        <f>'6.Cons Profit &amp; Loss'!G14</f>
        <v/>
      </c>
      <c r="I143" s="322" t="str">
        <f>'6.Cons Profit &amp; Loss'!H14</f>
        <v/>
      </c>
    </row>
    <row r="144" ht="14.25" customHeight="1">
      <c r="B144" s="155" t="s">
        <v>548</v>
      </c>
      <c r="C144" s="322" t="str">
        <f t="shared" ref="C144:I144" si="20">SUM(C137:C143)</f>
        <v>  20,616,425 </v>
      </c>
      <c r="D144" s="322" t="str">
        <f t="shared" si="20"/>
        <v>  24,911,745 </v>
      </c>
      <c r="E144" s="322" t="str">
        <f t="shared" si="20"/>
        <v>  29,352,390 </v>
      </c>
      <c r="F144" s="322" t="str">
        <f t="shared" si="20"/>
        <v>  34,174,820 </v>
      </c>
      <c r="G144" s="322" t="str">
        <f t="shared" si="20"/>
        <v>  39,406,111 </v>
      </c>
      <c r="H144" s="322" t="str">
        <f t="shared" si="20"/>
        <v>  44,893,149 </v>
      </c>
      <c r="I144" s="322" t="str">
        <f t="shared" si="20"/>
        <v>  50,830,374 </v>
      </c>
    </row>
    <row r="145" ht="14.25" customHeight="1">
      <c r="B145" s="155" t="s">
        <v>549</v>
      </c>
      <c r="C145" s="323"/>
      <c r="D145" s="322"/>
      <c r="E145" s="322"/>
      <c r="F145" s="322"/>
      <c r="G145" s="322"/>
      <c r="H145" s="322"/>
      <c r="I145" s="322"/>
    </row>
    <row r="146" ht="14.25" customHeight="1">
      <c r="B146" s="155" t="s">
        <v>550</v>
      </c>
      <c r="C146" s="318" t="str">
        <f>'6.Cons Profit &amp; Loss'!B36</f>
        <v>  1,204,000 </v>
      </c>
      <c r="D146" s="318" t="str">
        <f>'6.Cons Profit &amp; Loss'!C36</f>
        <v>  1,264,200 </v>
      </c>
      <c r="E146" s="318" t="str">
        <f>'6.Cons Profit &amp; Loss'!D36</f>
        <v>  1,327,410 </v>
      </c>
      <c r="F146" s="318" t="str">
        <f>'6.Cons Profit &amp; Loss'!E36</f>
        <v>  1,393,781 </v>
      </c>
      <c r="G146" s="318" t="str">
        <f>'6.Cons Profit &amp; Loss'!F36</f>
        <v>  1,463,470 </v>
      </c>
      <c r="H146" s="318" t="str">
        <f>'6.Cons Profit &amp; Loss'!G36</f>
        <v>  1,536,643 </v>
      </c>
      <c r="I146" s="318" t="str">
        <f>'6.Cons Profit &amp; Loss'!H36</f>
        <v>  1,613,475 </v>
      </c>
    </row>
    <row r="147" ht="14.25" customHeight="1">
      <c r="B147" s="155" t="s">
        <v>412</v>
      </c>
      <c r="C147" s="318" t="str">
        <f>'6.Cons Profit &amp; Loss'!B25*(1+$M$124)</f>
        <v>  14,619,751 </v>
      </c>
      <c r="D147" s="318" t="str">
        <f>'6.Cons Profit &amp; Loss'!C25*(1+$M$124)</f>
        <v>  17,849,454 </v>
      </c>
      <c r="E147" s="318" t="str">
        <f>'6.Cons Profit &amp; Loss'!D25*(1+$M$124)</f>
        <v>  21,138,433 </v>
      </c>
      <c r="F147" s="318" t="str">
        <f>'6.Cons Profit &amp; Loss'!E25*(1+$M$124)</f>
        <v>  24,711,685 </v>
      </c>
      <c r="G147" s="318" t="str">
        <f>'6.Cons Profit &amp; Loss'!F25*(1+$M$124)</f>
        <v>  28,589,418 </v>
      </c>
      <c r="H147" s="318" t="str">
        <f>'6.Cons Profit &amp; Loss'!G25*(1+$M$124)</f>
        <v>  32,777,223 </v>
      </c>
      <c r="I147" s="318" t="str">
        <f>'6.Cons Profit &amp; Loss'!H25*(1+$M$124)</f>
        <v>  37,312,336 </v>
      </c>
    </row>
    <row r="148" ht="14.25" customHeight="1">
      <c r="B148" s="155" t="s">
        <v>551</v>
      </c>
      <c r="C148" s="318" t="str">
        <f t="shared" ref="C148:I148" si="21">SUM(C146:C147)</f>
        <v>  15,823,751 </v>
      </c>
      <c r="D148" s="318" t="str">
        <f t="shared" si="21"/>
        <v>  19,113,654 </v>
      </c>
      <c r="E148" s="318" t="str">
        <f t="shared" si="21"/>
        <v>  22,465,843 </v>
      </c>
      <c r="F148" s="318" t="str">
        <f t="shared" si="21"/>
        <v>  26,105,466 </v>
      </c>
      <c r="G148" s="318" t="str">
        <f t="shared" si="21"/>
        <v>  30,052,887 </v>
      </c>
      <c r="H148" s="318" t="str">
        <f t="shared" si="21"/>
        <v>  34,313,866 </v>
      </c>
      <c r="I148" s="318" t="str">
        <f t="shared" si="21"/>
        <v>  38,925,811 </v>
      </c>
    </row>
    <row r="149" ht="14.25" customHeight="1">
      <c r="B149" s="158" t="s">
        <v>552</v>
      </c>
      <c r="C149" s="320" t="str">
        <f t="shared" ref="C149:I149" si="22">+C144-C148</f>
        <v>  4,792,674 </v>
      </c>
      <c r="D149" s="320" t="str">
        <f t="shared" si="22"/>
        <v>  5,798,091 </v>
      </c>
      <c r="E149" s="320" t="str">
        <f t="shared" si="22"/>
        <v>  6,886,547 </v>
      </c>
      <c r="F149" s="320" t="str">
        <f t="shared" si="22"/>
        <v>  8,069,354 </v>
      </c>
      <c r="G149" s="320" t="str">
        <f t="shared" si="22"/>
        <v>  9,353,224 </v>
      </c>
      <c r="H149" s="320" t="str">
        <f t="shared" si="22"/>
        <v>  10,579,282 </v>
      </c>
      <c r="I149" s="320" t="str">
        <f t="shared" si="22"/>
        <v>  11,904,563 </v>
      </c>
      <c r="N149" s="228"/>
      <c r="O149" s="286"/>
    </row>
    <row r="150" ht="14.25" customHeight="1">
      <c r="B150" s="288"/>
      <c r="C150" s="321"/>
      <c r="D150" s="321"/>
      <c r="E150" s="321"/>
      <c r="F150" s="321"/>
      <c r="G150" s="321"/>
      <c r="H150" s="321"/>
      <c r="I150" s="321"/>
    </row>
    <row r="151" ht="14.25" customHeight="1">
      <c r="B151" s="198" t="s">
        <v>554</v>
      </c>
      <c r="C151" s="199" t="s">
        <v>193</v>
      </c>
      <c r="D151" s="199" t="s">
        <v>194</v>
      </c>
      <c r="E151" s="199" t="s">
        <v>195</v>
      </c>
      <c r="F151" s="199" t="s">
        <v>196</v>
      </c>
      <c r="G151" s="199" t="s">
        <v>197</v>
      </c>
      <c r="H151" s="199" t="s">
        <v>198</v>
      </c>
      <c r="I151" s="199" t="s">
        <v>199</v>
      </c>
    </row>
    <row r="152" ht="14.25" customHeight="1">
      <c r="B152" s="155" t="str">
        <f t="shared" ref="B152:B158" si="23">B137</f>
        <v>Activity 1 - Cleaning &amp; Grading</v>
      </c>
      <c r="C152" s="318" t="str">
        <f>'6.Cons Profit &amp; Loss'!B8*(1-$M$123)</f>
        <v>  -   </v>
      </c>
      <c r="D152" s="318" t="str">
        <f>'6.Cons Profit &amp; Loss'!C8*(1-$M$123)</f>
        <v>  -   </v>
      </c>
      <c r="E152" s="318" t="str">
        <f>'6.Cons Profit &amp; Loss'!D8*(1-$M$123)</f>
        <v>  -   </v>
      </c>
      <c r="F152" s="318" t="str">
        <f>'6.Cons Profit &amp; Loss'!E8*(1-$M$123)</f>
        <v>  -   </v>
      </c>
      <c r="G152" s="318" t="str">
        <f>'6.Cons Profit &amp; Loss'!F8*(1-$M$123)</f>
        <v>  -   </v>
      </c>
      <c r="H152" s="318" t="str">
        <f>'6.Cons Profit &amp; Loss'!G8*(1-$M$123)</f>
        <v>  -   </v>
      </c>
      <c r="I152" s="318" t="str">
        <f>'6.Cons Profit &amp; Loss'!H8*(1-$M$123)</f>
        <v>  -   </v>
      </c>
    </row>
    <row r="153" ht="14.25" customHeight="1">
      <c r="B153" s="155" t="str">
        <f t="shared" si="23"/>
        <v>Activity 1 - Dal Mill</v>
      </c>
      <c r="C153" s="318" t="str">
        <f>'6.Cons Profit &amp; Loss'!B9*(1-$M$123)</f>
        <v>  15,465,492 </v>
      </c>
      <c r="D153" s="318" t="str">
        <f>'6.Cons Profit &amp; Loss'!C9*(1-$M$123)</f>
        <v>  19,197,837 </v>
      </c>
      <c r="E153" s="318" t="str">
        <f>'6.Cons Profit &amp; Loss'!D9*(1-$M$123)</f>
        <v>  23,043,719 </v>
      </c>
      <c r="F153" s="318" t="str">
        <f>'6.Cons Profit &amp; Loss'!E9*(1-$M$123)</f>
        <v>  27,226,196 </v>
      </c>
      <c r="G153" s="318" t="str">
        <f>'6.Cons Profit &amp; Loss'!F9*(1-$M$123)</f>
        <v>  31,769,310 </v>
      </c>
      <c r="H153" s="318" t="str">
        <f>'6.Cons Profit &amp; Loss'!G9*(1-$M$123)</f>
        <v>  36,698,671 </v>
      </c>
      <c r="I153" s="318" t="str">
        <f>'6.Cons Profit &amp; Loss'!H9*(1-$M$123)</f>
        <v>  42,041,544 </v>
      </c>
    </row>
    <row r="154" ht="14.25" customHeight="1">
      <c r="B154" s="155" t="str">
        <f t="shared" si="23"/>
        <v>Activity 2 - Warehouse</v>
      </c>
      <c r="C154" s="318" t="str">
        <f>'6.Cons Profit &amp; Loss'!B10*(1-$M$123)</f>
        <v>  2,166,912 </v>
      </c>
      <c r="D154" s="318" t="str">
        <f>'6.Cons Profit &amp; Loss'!C10*(1-$M$123)</f>
        <v>  2,417,461 </v>
      </c>
      <c r="E154" s="318" t="str">
        <f>'6.Cons Profit &amp; Loss'!D10*(1-$M$123)</f>
        <v>  2,687,648 </v>
      </c>
      <c r="F154" s="318" t="str">
        <f>'6.Cons Profit &amp; Loss'!E10*(1-$M$123)</f>
        <v>  2,978,810 </v>
      </c>
      <c r="G154" s="318" t="str">
        <f>'6.Cons Profit &amp; Loss'!F10*(1-$M$123)</f>
        <v>  3,292,369 </v>
      </c>
      <c r="H154" s="318" t="str">
        <f>'6.Cons Profit &amp; Loss'!G10*(1-$M$123)</f>
        <v>  3,456,987 </v>
      </c>
      <c r="I154" s="318" t="str">
        <f>'6.Cons Profit &amp; Loss'!H10*(1-$M$123)</f>
        <v>  3,629,837 </v>
      </c>
    </row>
    <row r="155" ht="14.25" customHeight="1">
      <c r="B155" s="155" t="str">
        <f t="shared" si="23"/>
        <v>Activity 3 - Custom Hiring </v>
      </c>
      <c r="C155" s="318" t="str">
        <f>'6.Cons Profit &amp; Loss'!B11*(1-$M$123)</f>
        <v>  1,953,200 </v>
      </c>
      <c r="D155" s="318" t="str">
        <f>'6.Cons Profit &amp; Loss'!C11*(1-$M$123)</f>
        <v>  2,050,860 </v>
      </c>
      <c r="E155" s="318" t="str">
        <f>'6.Cons Profit &amp; Loss'!D11*(1-$M$123)</f>
        <v>  2,153,403 </v>
      </c>
      <c r="F155" s="318" t="str">
        <f>'6.Cons Profit &amp; Loss'!E11*(1-$M$123)</f>
        <v>  2,261,073 </v>
      </c>
      <c r="G155" s="318" t="str">
        <f>'6.Cons Profit &amp; Loss'!F11*(1-$M$123)</f>
        <v>  2,374,127 </v>
      </c>
      <c r="H155" s="318" t="str">
        <f>'6.Cons Profit &amp; Loss'!G11*(1-$M$123)</f>
        <v>  2,492,833 </v>
      </c>
      <c r="I155" s="318" t="str">
        <f>'6.Cons Profit &amp; Loss'!H11*(1-$M$123)</f>
        <v>  2,617,475 </v>
      </c>
    </row>
    <row r="156" ht="14.25" customHeight="1">
      <c r="B156" s="155" t="str">
        <f t="shared" si="23"/>
        <v>Activity 4 - Agri Input Centre</v>
      </c>
      <c r="C156" s="318" t="str">
        <f>'6.Cons Profit &amp; Loss'!B12*(1-$M$123)</f>
        <v>  -   </v>
      </c>
      <c r="D156" s="318" t="str">
        <f>'6.Cons Profit &amp; Loss'!C12*(1-$M$123)</f>
        <v>  -   </v>
      </c>
      <c r="E156" s="318" t="str">
        <f>'6.Cons Profit &amp; Loss'!D12*(1-$M$123)</f>
        <v>  -   </v>
      </c>
      <c r="F156" s="318" t="str">
        <f>'6.Cons Profit &amp; Loss'!E12*(1-$M$123)</f>
        <v>  -   </v>
      </c>
      <c r="G156" s="318" t="str">
        <f>'6.Cons Profit &amp; Loss'!F12*(1-$M$123)</f>
        <v>  -   </v>
      </c>
      <c r="H156" s="318" t="str">
        <f>'6.Cons Profit &amp; Loss'!G12*(1-$M$123)</f>
        <v>  -   </v>
      </c>
      <c r="I156" s="318" t="str">
        <f>'6.Cons Profit &amp; Loss'!H12*(1-$M$123)</f>
        <v>  -   </v>
      </c>
    </row>
    <row r="157" ht="14.25" customHeight="1">
      <c r="B157" s="155" t="str">
        <f t="shared" si="23"/>
        <v>Facility 6 - Processing Unit - Horti Commodity</v>
      </c>
      <c r="C157" s="318" t="str">
        <f>'6.Cons Profit &amp; Loss'!B13*(1-$M$123)</f>
        <v>  -   </v>
      </c>
      <c r="D157" s="318" t="str">
        <f>'6.Cons Profit &amp; Loss'!C13*(1-$M$123)</f>
        <v>  -   </v>
      </c>
      <c r="E157" s="318" t="str">
        <f>'6.Cons Profit &amp; Loss'!D13*(1-$M$123)</f>
        <v>  -   </v>
      </c>
      <c r="F157" s="318" t="str">
        <f>'6.Cons Profit &amp; Loss'!E13*(1-$M$123)</f>
        <v>  -   </v>
      </c>
      <c r="G157" s="318" t="str">
        <f>'6.Cons Profit &amp; Loss'!F13*(1-$M$123)</f>
        <v>  -   </v>
      </c>
      <c r="H157" s="318" t="str">
        <f>'6.Cons Profit &amp; Loss'!G13*(1-$M$123)</f>
        <v>  -   </v>
      </c>
      <c r="I157" s="318" t="str">
        <f>'6.Cons Profit &amp; Loss'!H13*(1-$M$123)</f>
        <v>  -   </v>
      </c>
    </row>
    <row r="158" ht="14.25" customHeight="1">
      <c r="B158" s="155" t="str">
        <f t="shared" si="23"/>
        <v/>
      </c>
      <c r="C158" s="318" t="str">
        <f>'6.Cons Profit &amp; Loss'!B14*(1-$M$123)</f>
        <v>  -   </v>
      </c>
      <c r="D158" s="318" t="str">
        <f>'6.Cons Profit &amp; Loss'!C14*(1-$M$123)</f>
        <v>  -   </v>
      </c>
      <c r="E158" s="318" t="str">
        <f>'6.Cons Profit &amp; Loss'!D14*(1-$M$123)</f>
        <v>  -   </v>
      </c>
      <c r="F158" s="318" t="str">
        <f>'6.Cons Profit &amp; Loss'!E14*(1-$M$123)</f>
        <v>  -   </v>
      </c>
      <c r="G158" s="318" t="str">
        <f>'6.Cons Profit &amp; Loss'!F14*(1-$M$123)</f>
        <v>  -   </v>
      </c>
      <c r="H158" s="318" t="str">
        <f>'6.Cons Profit &amp; Loss'!G14*(1-$M$123)</f>
        <v>  -   </v>
      </c>
      <c r="I158" s="318" t="str">
        <f>'6.Cons Profit &amp; Loss'!H14*(1-$M$123)</f>
        <v>  -   </v>
      </c>
    </row>
    <row r="159" ht="14.25" customHeight="1">
      <c r="B159" s="155" t="s">
        <v>548</v>
      </c>
      <c r="C159" s="318" t="str">
        <f t="shared" ref="C159:I159" si="24">SUM(C152:C158)</f>
        <v>  19,585,604 </v>
      </c>
      <c r="D159" s="318" t="str">
        <f t="shared" si="24"/>
        <v>  23,666,158 </v>
      </c>
      <c r="E159" s="318" t="str">
        <f t="shared" si="24"/>
        <v>  27,884,770 </v>
      </c>
      <c r="F159" s="318" t="str">
        <f t="shared" si="24"/>
        <v>  32,466,079 </v>
      </c>
      <c r="G159" s="318" t="str">
        <f t="shared" si="24"/>
        <v>  37,435,806 </v>
      </c>
      <c r="H159" s="318" t="str">
        <f t="shared" si="24"/>
        <v>  42,648,491 </v>
      </c>
      <c r="I159" s="318" t="str">
        <f t="shared" si="24"/>
        <v>  48,288,856 </v>
      </c>
    </row>
    <row r="160" ht="14.25" customHeight="1">
      <c r="B160" s="155" t="s">
        <v>549</v>
      </c>
      <c r="C160" s="318"/>
      <c r="D160" s="318"/>
      <c r="E160" s="318"/>
      <c r="F160" s="318"/>
      <c r="G160" s="318"/>
      <c r="H160" s="318"/>
      <c r="I160" s="318"/>
    </row>
    <row r="161" ht="14.25" customHeight="1">
      <c r="B161" s="155" t="s">
        <v>550</v>
      </c>
      <c r="C161" s="318" t="str">
        <f>'6.Cons Profit &amp; Loss'!B36</f>
        <v>  1,204,000 </v>
      </c>
      <c r="D161" s="318" t="str">
        <f>'6.Cons Profit &amp; Loss'!C36</f>
        <v>  1,264,200 </v>
      </c>
      <c r="E161" s="318" t="str">
        <f>'6.Cons Profit &amp; Loss'!D36</f>
        <v>  1,327,410 </v>
      </c>
      <c r="F161" s="318" t="str">
        <f>'6.Cons Profit &amp; Loss'!E36</f>
        <v>  1,393,781 </v>
      </c>
      <c r="G161" s="318" t="str">
        <f>'6.Cons Profit &amp; Loss'!F36</f>
        <v>  1,463,470 </v>
      </c>
      <c r="H161" s="318" t="str">
        <f>'6.Cons Profit &amp; Loss'!G36</f>
        <v>  1,536,643 </v>
      </c>
      <c r="I161" s="318" t="str">
        <f>'6.Cons Profit &amp; Loss'!H36</f>
        <v>  1,613,475 </v>
      </c>
    </row>
    <row r="162" ht="14.25" customHeight="1">
      <c r="B162" s="155" t="s">
        <v>412</v>
      </c>
      <c r="C162" s="318" t="str">
        <f>'6.Cons Profit &amp; Loss'!B25*(1-$M$123)</f>
        <v>  13,227,394 </v>
      </c>
      <c r="D162" s="318" t="str">
        <f>'6.Cons Profit &amp; Loss'!C25*(1-$M$123)</f>
        <v>  16,149,506 </v>
      </c>
      <c r="E162" s="318" t="str">
        <f>'6.Cons Profit &amp; Loss'!D25*(1-$M$123)</f>
        <v>  19,125,248 </v>
      </c>
      <c r="F162" s="318" t="str">
        <f>'6.Cons Profit &amp; Loss'!E25*(1-$M$123)</f>
        <v>  22,358,192 </v>
      </c>
      <c r="G162" s="318" t="str">
        <f>'6.Cons Profit &amp; Loss'!F25*(1-$M$123)</f>
        <v>  25,866,616 </v>
      </c>
      <c r="H162" s="318" t="str">
        <f>'6.Cons Profit &amp; Loss'!G25*(1-$M$123)</f>
        <v>  29,655,583 </v>
      </c>
      <c r="I162" s="318" t="str">
        <f>'6.Cons Profit &amp; Loss'!H25*(1-$M$123)</f>
        <v>  33,758,780 </v>
      </c>
    </row>
    <row r="163" ht="14.25" customHeight="1">
      <c r="B163" s="155" t="s">
        <v>551</v>
      </c>
      <c r="C163" s="318" t="str">
        <f t="shared" ref="C163:I163" si="25">SUM(C161:C162)</f>
        <v>  14,431,394 </v>
      </c>
      <c r="D163" s="318" t="str">
        <f t="shared" si="25"/>
        <v>  17,413,706 </v>
      </c>
      <c r="E163" s="318" t="str">
        <f t="shared" si="25"/>
        <v>  20,452,658 </v>
      </c>
      <c r="F163" s="318" t="str">
        <f t="shared" si="25"/>
        <v>  23,751,972 </v>
      </c>
      <c r="G163" s="318" t="str">
        <f t="shared" si="25"/>
        <v>  27,330,085 </v>
      </c>
      <c r="H163" s="318" t="str">
        <f t="shared" si="25"/>
        <v>  31,192,226 </v>
      </c>
      <c r="I163" s="318" t="str">
        <f t="shared" si="25"/>
        <v>  35,372,256 </v>
      </c>
    </row>
    <row r="164" ht="14.25" customHeight="1">
      <c r="B164" s="158" t="s">
        <v>552</v>
      </c>
      <c r="C164" s="320" t="str">
        <f t="shared" ref="C164:I164" si="26">+C159-C163</f>
        <v>  5,154,210 </v>
      </c>
      <c r="D164" s="320" t="str">
        <f t="shared" si="26"/>
        <v>  6,252,452 </v>
      </c>
      <c r="E164" s="320" t="str">
        <f t="shared" si="26"/>
        <v>  7,432,112 </v>
      </c>
      <c r="F164" s="320" t="str">
        <f t="shared" si="26"/>
        <v>  8,714,107 </v>
      </c>
      <c r="G164" s="320" t="str">
        <f t="shared" si="26"/>
        <v>  10,105,720 </v>
      </c>
      <c r="H164" s="320" t="str">
        <f t="shared" si="26"/>
        <v>  11,456,265 </v>
      </c>
      <c r="I164" s="320" t="str">
        <f t="shared" si="26"/>
        <v>  12,916,600 </v>
      </c>
    </row>
    <row r="165" ht="14.25" customHeight="1">
      <c r="C165" s="321"/>
      <c r="D165" s="321"/>
      <c r="E165" s="321"/>
      <c r="F165" s="321"/>
      <c r="G165" s="321"/>
      <c r="H165" s="321"/>
      <c r="I165" s="321"/>
    </row>
    <row r="166" ht="14.25" customHeight="1">
      <c r="B166" s="198" t="s">
        <v>555</v>
      </c>
      <c r="C166" s="199" t="s">
        <v>193</v>
      </c>
      <c r="D166" s="199" t="s">
        <v>194</v>
      </c>
      <c r="E166" s="199" t="s">
        <v>195</v>
      </c>
      <c r="F166" s="199" t="s">
        <v>196</v>
      </c>
      <c r="G166" s="199" t="s">
        <v>197</v>
      </c>
      <c r="H166" s="199" t="s">
        <v>198</v>
      </c>
      <c r="I166" s="199" t="s">
        <v>199</v>
      </c>
    </row>
    <row r="167" ht="14.25" customHeight="1">
      <c r="B167" s="155" t="str">
        <f t="shared" ref="B167:B173" si="27">B152</f>
        <v>Activity 1 - Cleaning &amp; Grading</v>
      </c>
      <c r="C167" s="322" t="str">
        <f>'6.Cons Profit &amp; Loss'!B8</f>
        <v>  -   </v>
      </c>
      <c r="D167" s="322" t="str">
        <f>'6.Cons Profit &amp; Loss'!C8</f>
        <v>  -   </v>
      </c>
      <c r="E167" s="322" t="str">
        <f>'6.Cons Profit &amp; Loss'!D8</f>
        <v>  -   </v>
      </c>
      <c r="F167" s="322" t="str">
        <f>'6.Cons Profit &amp; Loss'!E8</f>
        <v>  -   </v>
      </c>
      <c r="G167" s="322" t="str">
        <f>'6.Cons Profit &amp; Loss'!F8</f>
        <v>  -   </v>
      </c>
      <c r="H167" s="322" t="str">
        <f>'6.Cons Profit &amp; Loss'!G8</f>
        <v>  -   </v>
      </c>
      <c r="I167" s="322" t="str">
        <f>'6.Cons Profit &amp; Loss'!H8</f>
        <v>  -   </v>
      </c>
    </row>
    <row r="168" ht="14.25" customHeight="1">
      <c r="B168" s="155" t="str">
        <f t="shared" si="27"/>
        <v>Activity 1 - Dal Mill</v>
      </c>
      <c r="C168" s="322" t="str">
        <f>'6.Cons Profit &amp; Loss'!B9</f>
        <v>  16,279,465 </v>
      </c>
      <c r="D168" s="322" t="str">
        <f>'6.Cons Profit &amp; Loss'!C9</f>
        <v>  20,208,249 </v>
      </c>
      <c r="E168" s="322" t="str">
        <f>'6.Cons Profit &amp; Loss'!D9</f>
        <v>  24,256,547 </v>
      </c>
      <c r="F168" s="322" t="str">
        <f>'6.Cons Profit &amp; Loss'!E9</f>
        <v>  28,659,153 </v>
      </c>
      <c r="G168" s="322" t="str">
        <f>'6.Cons Profit &amp; Loss'!F9</f>
        <v>  33,441,379 </v>
      </c>
      <c r="H168" s="322" t="str">
        <f>'6.Cons Profit &amp; Loss'!G9</f>
        <v>  38,630,180 </v>
      </c>
      <c r="I168" s="322" t="str">
        <f>'6.Cons Profit &amp; Loss'!H9</f>
        <v>  44,254,257 </v>
      </c>
    </row>
    <row r="169" ht="14.25" customHeight="1">
      <c r="B169" s="155" t="str">
        <f t="shared" si="27"/>
        <v>Activity 2 - Warehouse</v>
      </c>
      <c r="C169" s="322" t="str">
        <f>'6.Cons Profit &amp; Loss'!B10</f>
        <v>  2,280,960 </v>
      </c>
      <c r="D169" s="322" t="str">
        <f>'6.Cons Profit &amp; Loss'!C10</f>
        <v>  2,544,696 </v>
      </c>
      <c r="E169" s="322" t="str">
        <f>'6.Cons Profit &amp; Loss'!D10</f>
        <v>  2,829,103 </v>
      </c>
      <c r="F169" s="322" t="str">
        <f>'6.Cons Profit &amp; Loss'!E10</f>
        <v>  3,135,589 </v>
      </c>
      <c r="G169" s="322" t="str">
        <f>'6.Cons Profit &amp; Loss'!F10</f>
        <v>  3,465,651 </v>
      </c>
      <c r="H169" s="322" t="str">
        <f>'6.Cons Profit &amp; Loss'!G10</f>
        <v>  3,638,934 </v>
      </c>
      <c r="I169" s="322" t="str">
        <f>'6.Cons Profit &amp; Loss'!H10</f>
        <v>  3,820,881 </v>
      </c>
    </row>
    <row r="170" ht="14.25" customHeight="1">
      <c r="B170" s="155" t="str">
        <f t="shared" si="27"/>
        <v>Activity 3 - Custom Hiring </v>
      </c>
      <c r="C170" s="322" t="str">
        <f>'6.Cons Profit &amp; Loss'!B11</f>
        <v>  2,056,000 </v>
      </c>
      <c r="D170" s="322" t="str">
        <f>'6.Cons Profit &amp; Loss'!C11</f>
        <v>  2,158,800 </v>
      </c>
      <c r="E170" s="322" t="str">
        <f>'6.Cons Profit &amp; Loss'!D11</f>
        <v>  2,266,740 </v>
      </c>
      <c r="F170" s="322" t="str">
        <f>'6.Cons Profit &amp; Loss'!E11</f>
        <v>  2,380,077 </v>
      </c>
      <c r="G170" s="322" t="str">
        <f>'6.Cons Profit &amp; Loss'!F11</f>
        <v>  2,499,081 </v>
      </c>
      <c r="H170" s="322" t="str">
        <f>'6.Cons Profit &amp; Loss'!G11</f>
        <v>  2,624,035 </v>
      </c>
      <c r="I170" s="322" t="str">
        <f>'6.Cons Profit &amp; Loss'!H11</f>
        <v>  2,755,237 </v>
      </c>
    </row>
    <row r="171" ht="14.25" customHeight="1">
      <c r="B171" s="155" t="str">
        <f t="shared" si="27"/>
        <v>Activity 4 - Agri Input Centre</v>
      </c>
      <c r="C171" s="322" t="str">
        <f>'6.Cons Profit &amp; Loss'!B12</f>
        <v>  -   </v>
      </c>
      <c r="D171" s="322" t="str">
        <f>'6.Cons Profit &amp; Loss'!C12</f>
        <v>  -   </v>
      </c>
      <c r="E171" s="322" t="str">
        <f>'6.Cons Profit &amp; Loss'!D12</f>
        <v>  -   </v>
      </c>
      <c r="F171" s="322" t="str">
        <f>'6.Cons Profit &amp; Loss'!E12</f>
        <v>  -   </v>
      </c>
      <c r="G171" s="322" t="str">
        <f>'6.Cons Profit &amp; Loss'!F12</f>
        <v>  -   </v>
      </c>
      <c r="H171" s="322" t="str">
        <f>'6.Cons Profit &amp; Loss'!G12</f>
        <v>  -   </v>
      </c>
      <c r="I171" s="322" t="str">
        <f>'6.Cons Profit &amp; Loss'!H12</f>
        <v>  -   </v>
      </c>
    </row>
    <row r="172" ht="14.25" customHeight="1">
      <c r="B172" s="155" t="str">
        <f t="shared" si="27"/>
        <v>Facility 6 - Processing Unit - Horti Commodity</v>
      </c>
      <c r="C172" s="322" t="str">
        <f>'6.Cons Profit &amp; Loss'!B13</f>
        <v>  -   </v>
      </c>
      <c r="D172" s="322" t="str">
        <f>'6.Cons Profit &amp; Loss'!C13</f>
        <v>  -   </v>
      </c>
      <c r="E172" s="322" t="str">
        <f>'6.Cons Profit &amp; Loss'!D13</f>
        <v>  -   </v>
      </c>
      <c r="F172" s="322" t="str">
        <f>'6.Cons Profit &amp; Loss'!E13</f>
        <v>  -   </v>
      </c>
      <c r="G172" s="322" t="str">
        <f>'6.Cons Profit &amp; Loss'!F13</f>
        <v>  -   </v>
      </c>
      <c r="H172" s="322" t="str">
        <f>'6.Cons Profit &amp; Loss'!G13</f>
        <v>  -   </v>
      </c>
      <c r="I172" s="322" t="str">
        <f>'6.Cons Profit &amp; Loss'!H13</f>
        <v>  -   </v>
      </c>
    </row>
    <row r="173" ht="14.25" customHeight="1">
      <c r="B173" s="155" t="str">
        <f t="shared" si="27"/>
        <v/>
      </c>
      <c r="C173" s="322" t="str">
        <f>'6.Cons Profit &amp; Loss'!B14</f>
        <v/>
      </c>
      <c r="D173" s="322" t="str">
        <f>'6.Cons Profit &amp; Loss'!C14</f>
        <v/>
      </c>
      <c r="E173" s="322" t="str">
        <f>'6.Cons Profit &amp; Loss'!D14</f>
        <v/>
      </c>
      <c r="F173" s="322" t="str">
        <f>'6.Cons Profit &amp; Loss'!E14</f>
        <v/>
      </c>
      <c r="G173" s="322" t="str">
        <f>'6.Cons Profit &amp; Loss'!F14</f>
        <v/>
      </c>
      <c r="H173" s="322" t="str">
        <f>'6.Cons Profit &amp; Loss'!G14</f>
        <v/>
      </c>
      <c r="I173" s="322" t="str">
        <f>'6.Cons Profit &amp; Loss'!H14</f>
        <v/>
      </c>
    </row>
    <row r="174" ht="14.25" customHeight="1">
      <c r="B174" s="155" t="s">
        <v>548</v>
      </c>
      <c r="C174" s="322" t="str">
        <f t="shared" ref="C174:I174" si="28">SUM(C167:C173)</f>
        <v>  20,616,425 </v>
      </c>
      <c r="D174" s="322" t="str">
        <f t="shared" si="28"/>
        <v>  24,911,745 </v>
      </c>
      <c r="E174" s="322" t="str">
        <f t="shared" si="28"/>
        <v>  29,352,390 </v>
      </c>
      <c r="F174" s="322" t="str">
        <f t="shared" si="28"/>
        <v>  34,174,820 </v>
      </c>
      <c r="G174" s="322" t="str">
        <f t="shared" si="28"/>
        <v>  39,406,111 </v>
      </c>
      <c r="H174" s="322" t="str">
        <f t="shared" si="28"/>
        <v>  44,893,149 </v>
      </c>
      <c r="I174" s="322" t="str">
        <f t="shared" si="28"/>
        <v>  50,830,374 </v>
      </c>
    </row>
    <row r="175" ht="14.25" customHeight="1">
      <c r="B175" s="155" t="s">
        <v>549</v>
      </c>
      <c r="C175" s="322"/>
      <c r="D175" s="322"/>
      <c r="E175" s="322"/>
      <c r="F175" s="322"/>
      <c r="G175" s="322"/>
      <c r="H175" s="322"/>
      <c r="I175" s="322"/>
    </row>
    <row r="176" ht="14.25" customHeight="1">
      <c r="B176" s="155" t="s">
        <v>550</v>
      </c>
      <c r="C176" s="322" t="str">
        <f>'6.Cons Profit &amp; Loss'!B36</f>
        <v>  1,204,000 </v>
      </c>
      <c r="D176" s="322" t="str">
        <f>'6.Cons Profit &amp; Loss'!C36</f>
        <v>  1,264,200 </v>
      </c>
      <c r="E176" s="322" t="str">
        <f>'6.Cons Profit &amp; Loss'!D36</f>
        <v>  1,327,410 </v>
      </c>
      <c r="F176" s="322" t="str">
        <f>'6.Cons Profit &amp; Loss'!E36</f>
        <v>  1,393,781 </v>
      </c>
      <c r="G176" s="322" t="str">
        <f>'6.Cons Profit &amp; Loss'!F36</f>
        <v>  1,463,470 </v>
      </c>
      <c r="H176" s="322" t="str">
        <f>'6.Cons Profit &amp; Loss'!G36</f>
        <v>  1,536,643 </v>
      </c>
      <c r="I176" s="322" t="str">
        <f>'6.Cons Profit &amp; Loss'!H36</f>
        <v>  1,613,475 </v>
      </c>
    </row>
    <row r="177" ht="14.25" customHeight="1">
      <c r="B177" s="155" t="s">
        <v>412</v>
      </c>
      <c r="C177" s="322" t="str">
        <f>'6.Cons Profit &amp; Loss'!B25*(1-$M$124)</f>
        <v>  13,227,394 </v>
      </c>
      <c r="D177" s="322" t="str">
        <f>'6.Cons Profit &amp; Loss'!C25*(1-$M$124)</f>
        <v>  16,149,506 </v>
      </c>
      <c r="E177" s="322" t="str">
        <f>'6.Cons Profit &amp; Loss'!D25*(1-$M$124)</f>
        <v>  19,125,248 </v>
      </c>
      <c r="F177" s="322" t="str">
        <f>'6.Cons Profit &amp; Loss'!E25*(1-$M$124)</f>
        <v>  22,358,192 </v>
      </c>
      <c r="G177" s="322" t="str">
        <f>'6.Cons Profit &amp; Loss'!F25*(1-$M$124)</f>
        <v>  25,866,616 </v>
      </c>
      <c r="H177" s="322" t="str">
        <f>'6.Cons Profit &amp; Loss'!G25*(1-$M$124)</f>
        <v>  29,655,583 </v>
      </c>
      <c r="I177" s="322" t="str">
        <f>'6.Cons Profit &amp; Loss'!H25*(1-$M$124)</f>
        <v>  33,758,780 </v>
      </c>
    </row>
    <row r="178" ht="14.25" customHeight="1">
      <c r="B178" s="155" t="s">
        <v>551</v>
      </c>
      <c r="C178" s="322" t="str">
        <f t="shared" ref="C178:I178" si="29">SUM(C176:C177)</f>
        <v>  14,431,394 </v>
      </c>
      <c r="D178" s="322" t="str">
        <f t="shared" si="29"/>
        <v>  17,413,706 </v>
      </c>
      <c r="E178" s="322" t="str">
        <f t="shared" si="29"/>
        <v>  20,452,658 </v>
      </c>
      <c r="F178" s="322" t="str">
        <f t="shared" si="29"/>
        <v>  23,751,972 </v>
      </c>
      <c r="G178" s="322" t="str">
        <f t="shared" si="29"/>
        <v>  27,330,085 </v>
      </c>
      <c r="H178" s="322" t="str">
        <f t="shared" si="29"/>
        <v>  31,192,226 </v>
      </c>
      <c r="I178" s="322" t="str">
        <f t="shared" si="29"/>
        <v>  35,372,256 </v>
      </c>
    </row>
    <row r="179" ht="14.25" customHeight="1">
      <c r="B179" s="158" t="s">
        <v>552</v>
      </c>
      <c r="C179" s="324" t="str">
        <f t="shared" ref="C179:I179" si="30">+C174-C178</f>
        <v>  6,185,031 </v>
      </c>
      <c r="D179" s="324" t="str">
        <f t="shared" si="30"/>
        <v>  7,498,039 </v>
      </c>
      <c r="E179" s="324" t="str">
        <f t="shared" si="30"/>
        <v>  8,899,731 </v>
      </c>
      <c r="F179" s="324" t="str">
        <f t="shared" si="30"/>
        <v>  10,422,848 </v>
      </c>
      <c r="G179" s="324" t="str">
        <f t="shared" si="30"/>
        <v>  12,076,026 </v>
      </c>
      <c r="H179" s="324" t="str">
        <f t="shared" si="30"/>
        <v>  13,700,923 </v>
      </c>
      <c r="I179" s="324" t="str">
        <f t="shared" si="30"/>
        <v>  15,458,119 </v>
      </c>
    </row>
    <row r="180" ht="14.25" customHeight="1"/>
    <row r="181" ht="40.5" customHeight="1">
      <c r="B181" s="325" t="s">
        <v>556</v>
      </c>
      <c r="J181" s="326"/>
      <c r="K181" s="326"/>
      <c r="L181" s="326"/>
      <c r="M181" s="326"/>
    </row>
  </sheetData>
  <mergeCells count="20">
    <mergeCell ref="B120:I120"/>
    <mergeCell ref="B118:J118"/>
    <mergeCell ref="B75:J75"/>
    <mergeCell ref="B76:I76"/>
    <mergeCell ref="C82:I82"/>
    <mergeCell ref="C83:I83"/>
    <mergeCell ref="B88:I88"/>
    <mergeCell ref="B90:J90"/>
    <mergeCell ref="D22:J22"/>
    <mergeCell ref="B26:I26"/>
    <mergeCell ref="B24:J24"/>
    <mergeCell ref="B54:I54"/>
    <mergeCell ref="B51:J51"/>
    <mergeCell ref="B181:I181"/>
    <mergeCell ref="K120:R120"/>
    <mergeCell ref="D20:J20"/>
    <mergeCell ref="B103:J103"/>
    <mergeCell ref="B105:I105"/>
    <mergeCell ref="C85:I85"/>
    <mergeCell ref="B5:J5"/>
  </mergeCells>
  <hyperlinks>
    <hyperlink r:id="rId1" ref="B24"/>
  </hyperlinks>
  <printOptions/>
  <pageMargins bottom="0.75" footer="0.0" header="0.0" left="0.7" right="0.7" top="0.75"/>
  <pageSetup scale="57" orientation="portrait"/>
  <drawing r:id="rId2"/>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9.14"/>
    <col customWidth="1" min="2" max="2" width="23.29"/>
    <col customWidth="1" min="3" max="3" width="11.57"/>
    <col customWidth="1" min="4" max="4" width="18.86"/>
    <col customWidth="1" min="5" max="5" width="15.14"/>
    <col customWidth="1" min="6" max="7" width="15.86"/>
    <col customWidth="1" min="8" max="8" width="21.29"/>
    <col customWidth="1" min="9" max="9" width="11.43"/>
    <col customWidth="1" min="10" max="10" width="9.14"/>
    <col customWidth="1" min="11" max="26" width="8.71"/>
  </cols>
  <sheetData>
    <row r="1" ht="14.25" customHeight="1">
      <c r="A1" s="25" t="s">
        <v>557</v>
      </c>
    </row>
    <row r="2" ht="14.25" customHeight="1">
      <c r="B2" s="228"/>
    </row>
    <row r="3" ht="14.25" customHeight="1">
      <c r="A3" s="327" t="s">
        <v>558</v>
      </c>
      <c r="B3" s="3"/>
    </row>
    <row r="4" ht="14.25" customHeight="1">
      <c r="A4" s="164" t="s">
        <v>190</v>
      </c>
      <c r="B4" s="328" t="s">
        <v>201</v>
      </c>
      <c r="C4" s="329"/>
      <c r="D4" s="329"/>
      <c r="E4" s="329"/>
      <c r="F4" s="329"/>
      <c r="G4" s="329"/>
      <c r="H4" s="329"/>
    </row>
    <row r="5" ht="14.25" customHeight="1">
      <c r="A5" s="85" t="s">
        <v>559</v>
      </c>
      <c r="B5" s="330">
        <v>1500.0</v>
      </c>
      <c r="D5" s="331"/>
      <c r="E5" s="331"/>
      <c r="F5" s="331"/>
      <c r="G5" s="331"/>
      <c r="H5" s="331"/>
    </row>
    <row r="6" ht="14.25" customHeight="1">
      <c r="A6" s="85" t="s">
        <v>560</v>
      </c>
      <c r="B6" s="330">
        <v>0.0</v>
      </c>
      <c r="D6" s="331"/>
      <c r="E6" s="331"/>
      <c r="F6" s="331"/>
      <c r="G6" s="331"/>
      <c r="H6" s="331"/>
    </row>
    <row r="7" ht="14.25" customHeight="1">
      <c r="A7" s="332" t="s">
        <v>88</v>
      </c>
      <c r="B7" s="332" t="str">
        <f>B5+B6</f>
        <v>1500</v>
      </c>
      <c r="C7" s="119"/>
      <c r="D7" s="333"/>
      <c r="E7" s="333"/>
      <c r="F7" s="333"/>
      <c r="G7" s="333"/>
      <c r="H7" s="333"/>
    </row>
    <row r="8" ht="14.25" customHeight="1">
      <c r="A8" s="332" t="s">
        <v>561</v>
      </c>
      <c r="B8" s="334">
        <v>3.0</v>
      </c>
      <c r="C8" s="119"/>
      <c r="D8" s="119"/>
      <c r="E8" s="119"/>
      <c r="F8" s="119"/>
      <c r="G8" s="119"/>
      <c r="H8" s="119"/>
    </row>
    <row r="9" ht="14.25" customHeight="1">
      <c r="A9" s="332" t="s">
        <v>562</v>
      </c>
      <c r="B9" s="332" t="str">
        <f>B7*B8</f>
        <v>4500</v>
      </c>
      <c r="C9" s="333"/>
      <c r="D9" s="333"/>
      <c r="E9" s="333"/>
      <c r="F9" s="333"/>
      <c r="G9" s="333"/>
      <c r="H9" s="333"/>
    </row>
    <row r="10" ht="14.25" customHeight="1">
      <c r="J10" t="s">
        <v>563</v>
      </c>
      <c r="O10" t="s">
        <v>378</v>
      </c>
      <c r="U10" t="s">
        <v>16</v>
      </c>
      <c r="Y10" t="s">
        <v>564</v>
      </c>
      <c r="Z10" t="s">
        <v>565</v>
      </c>
    </row>
    <row r="11" ht="14.25" customHeight="1">
      <c r="A11" s="25" t="s">
        <v>566</v>
      </c>
      <c r="I11" s="119"/>
      <c r="J11" s="119"/>
      <c r="K11" s="119"/>
      <c r="L11" s="119"/>
      <c r="M11" s="119"/>
      <c r="N11" s="119"/>
      <c r="O11" s="119"/>
      <c r="P11" s="119"/>
    </row>
    <row r="12" ht="14.25" customHeight="1">
      <c r="J12" s="228">
        <v>0.65</v>
      </c>
      <c r="K12" s="335" t="str">
        <f t="shared" ref="K12:N12" si="1">J12+0.05</f>
        <v>70.0%</v>
      </c>
      <c r="L12" s="335" t="str">
        <f t="shared" si="1"/>
        <v>75.0%</v>
      </c>
      <c r="M12" s="335" t="str">
        <f t="shared" si="1"/>
        <v>80.0%</v>
      </c>
      <c r="N12" s="335" t="str">
        <f t="shared" si="1"/>
        <v>85.0%</v>
      </c>
      <c r="O12" s="228">
        <v>0.4</v>
      </c>
      <c r="P12" s="228" t="str">
        <f t="shared" ref="P12:T12" si="2">O12+0.05</f>
        <v>45%</v>
      </c>
      <c r="Q12" s="228" t="str">
        <f t="shared" si="2"/>
        <v>50%</v>
      </c>
      <c r="R12" s="228" t="str">
        <f t="shared" si="2"/>
        <v>55%</v>
      </c>
      <c r="S12" s="228" t="str">
        <f t="shared" si="2"/>
        <v>60%</v>
      </c>
      <c r="T12" s="228" t="str">
        <f t="shared" si="2"/>
        <v>65%</v>
      </c>
      <c r="U12" s="228">
        <v>0.1</v>
      </c>
      <c r="V12" s="286" t="str">
        <f t="shared" ref="V12:X12" si="3">U12+0.05</f>
        <v>15.00%</v>
      </c>
      <c r="W12" s="286" t="str">
        <f t="shared" si="3"/>
        <v>20.00%</v>
      </c>
      <c r="X12" s="286" t="str">
        <f t="shared" si="3"/>
        <v>25.00%</v>
      </c>
    </row>
    <row r="13" ht="14.25" customHeight="1">
      <c r="A13" s="164" t="s">
        <v>567</v>
      </c>
      <c r="B13" s="164" t="s">
        <v>568</v>
      </c>
      <c r="C13" s="336" t="s">
        <v>569</v>
      </c>
      <c r="D13" s="336" t="s">
        <v>570</v>
      </c>
      <c r="E13" s="336" t="s">
        <v>571</v>
      </c>
      <c r="F13" s="336" t="s">
        <v>572</v>
      </c>
      <c r="G13" s="336" t="s">
        <v>573</v>
      </c>
      <c r="H13" s="336" t="s">
        <v>574</v>
      </c>
      <c r="O13" s="337" t="s">
        <v>193</v>
      </c>
      <c r="P13" s="337" t="s">
        <v>194</v>
      </c>
      <c r="Q13" s="337" t="s">
        <v>195</v>
      </c>
      <c r="R13" s="337" t="s">
        <v>196</v>
      </c>
      <c r="S13" s="337" t="s">
        <v>197</v>
      </c>
      <c r="T13" s="337" t="s">
        <v>193</v>
      </c>
      <c r="U13" s="337" t="s">
        <v>194</v>
      </c>
      <c r="V13" s="337" t="s">
        <v>195</v>
      </c>
      <c r="W13" s="337" t="s">
        <v>196</v>
      </c>
      <c r="X13" s="337" t="s">
        <v>197</v>
      </c>
    </row>
    <row r="14" ht="14.25" customHeight="1">
      <c r="A14" s="338" t="s">
        <v>575</v>
      </c>
      <c r="B14" s="330" t="s">
        <v>576</v>
      </c>
      <c r="C14" s="339">
        <v>0.0</v>
      </c>
      <c r="D14" s="85" t="str">
        <f t="shared" ref="D14:D22" si="5">$B$9*C14</f>
        <v>0</v>
      </c>
      <c r="E14" s="340">
        <v>9.0</v>
      </c>
      <c r="F14" s="85" t="str">
        <f t="shared" ref="F14:F22" si="6">D14*E14</f>
        <v>0</v>
      </c>
      <c r="G14" s="341">
        <v>0.0</v>
      </c>
      <c r="H14" s="85" t="str">
        <f t="shared" ref="H14:H22" si="7">(F14-F14*G14)</f>
        <v>0</v>
      </c>
      <c r="J14" t="str">
        <f t="shared" ref="J14:N14" si="4">$D$14*J12</f>
        <v>0</v>
      </c>
      <c r="K14" t="str">
        <f t="shared" si="4"/>
        <v>0</v>
      </c>
      <c r="L14" t="str">
        <f t="shared" si="4"/>
        <v>0</v>
      </c>
      <c r="M14" t="str">
        <f t="shared" si="4"/>
        <v>0</v>
      </c>
      <c r="N14" t="str">
        <f t="shared" si="4"/>
        <v>0</v>
      </c>
    </row>
    <row r="15" ht="14.25" customHeight="1">
      <c r="A15" s="20"/>
      <c r="B15" s="330" t="s">
        <v>577</v>
      </c>
      <c r="C15" s="339">
        <v>0.35</v>
      </c>
      <c r="D15" s="85" t="str">
        <f t="shared" si="5"/>
        <v>1575</v>
      </c>
      <c r="E15" s="340">
        <v>6.0</v>
      </c>
      <c r="F15" s="85" t="str">
        <f t="shared" si="6"/>
        <v>9450</v>
      </c>
      <c r="G15" s="341">
        <v>0.05</v>
      </c>
      <c r="H15" s="85" t="str">
        <f t="shared" si="7"/>
        <v>8977.5</v>
      </c>
    </row>
    <row r="16" ht="14.25" customHeight="1">
      <c r="A16" s="20"/>
      <c r="B16" s="330" t="s">
        <v>578</v>
      </c>
      <c r="C16" s="339">
        <v>0.0</v>
      </c>
      <c r="D16" s="85" t="str">
        <f t="shared" si="5"/>
        <v>0</v>
      </c>
      <c r="E16" s="340">
        <v>6.0</v>
      </c>
      <c r="F16" s="85" t="str">
        <f t="shared" si="6"/>
        <v>0</v>
      </c>
      <c r="G16" s="341">
        <v>0.0</v>
      </c>
      <c r="H16" s="85" t="str">
        <f t="shared" si="7"/>
        <v>0</v>
      </c>
    </row>
    <row r="17" ht="14.25" customHeight="1">
      <c r="A17" s="20"/>
      <c r="B17" s="330" t="s">
        <v>579</v>
      </c>
      <c r="C17" s="339">
        <v>0.1</v>
      </c>
      <c r="D17" s="85" t="str">
        <f t="shared" si="5"/>
        <v>450</v>
      </c>
      <c r="E17" s="340">
        <v>7.0</v>
      </c>
      <c r="F17" s="85" t="str">
        <f t="shared" si="6"/>
        <v>3150</v>
      </c>
      <c r="G17" s="341">
        <v>0.05</v>
      </c>
      <c r="H17" s="85" t="str">
        <f t="shared" si="7"/>
        <v>2992.5</v>
      </c>
    </row>
    <row r="18" ht="14.25" customHeight="1">
      <c r="A18" s="20"/>
      <c r="B18" s="330" t="s">
        <v>580</v>
      </c>
      <c r="C18" s="339">
        <v>0.0</v>
      </c>
      <c r="D18" s="85" t="str">
        <f t="shared" si="5"/>
        <v>0</v>
      </c>
      <c r="E18" s="340">
        <v>20.0</v>
      </c>
      <c r="F18" s="85" t="str">
        <f t="shared" si="6"/>
        <v>0</v>
      </c>
      <c r="G18" s="341">
        <v>0.0</v>
      </c>
      <c r="H18" s="85" t="str">
        <f t="shared" si="7"/>
        <v>0</v>
      </c>
    </row>
    <row r="19" ht="14.25" customHeight="1">
      <c r="A19" s="20"/>
      <c r="B19" s="330" t="s">
        <v>581</v>
      </c>
      <c r="C19" s="339">
        <v>0.1</v>
      </c>
      <c r="D19" s="85" t="str">
        <f t="shared" si="5"/>
        <v>450</v>
      </c>
      <c r="E19" s="340">
        <v>6.0</v>
      </c>
      <c r="F19" s="85" t="str">
        <f t="shared" si="6"/>
        <v>2700</v>
      </c>
      <c r="G19" s="341">
        <v>0.05</v>
      </c>
      <c r="H19" s="85" t="str">
        <f t="shared" si="7"/>
        <v>2565</v>
      </c>
    </row>
    <row r="20" ht="14.25" customHeight="1">
      <c r="A20" s="20"/>
      <c r="B20" s="330" t="s">
        <v>582</v>
      </c>
      <c r="C20" s="339">
        <v>0.0</v>
      </c>
      <c r="D20" s="85" t="str">
        <f t="shared" si="5"/>
        <v>0</v>
      </c>
      <c r="E20" s="340">
        <v>6.0</v>
      </c>
      <c r="F20" s="85" t="str">
        <f t="shared" si="6"/>
        <v>0</v>
      </c>
      <c r="G20" s="341">
        <v>0.02</v>
      </c>
      <c r="H20" s="85" t="str">
        <f t="shared" si="7"/>
        <v>0</v>
      </c>
    </row>
    <row r="21" ht="14.25" customHeight="1">
      <c r="A21" s="20"/>
      <c r="B21" s="330" t="s">
        <v>583</v>
      </c>
      <c r="C21" s="339">
        <v>0.0</v>
      </c>
      <c r="D21" s="85" t="str">
        <f t="shared" si="5"/>
        <v>0</v>
      </c>
      <c r="E21" s="340"/>
      <c r="F21" s="85" t="str">
        <f t="shared" si="6"/>
        <v>0</v>
      </c>
      <c r="G21" s="341">
        <v>0.0</v>
      </c>
      <c r="H21" s="85" t="str">
        <f t="shared" si="7"/>
        <v>0</v>
      </c>
    </row>
    <row r="22" ht="14.25" customHeight="1">
      <c r="A22" s="21"/>
      <c r="B22" s="330" t="s">
        <v>584</v>
      </c>
      <c r="C22" s="339">
        <v>0.0</v>
      </c>
      <c r="D22" s="85" t="str">
        <f t="shared" si="5"/>
        <v>0</v>
      </c>
      <c r="E22" s="340"/>
      <c r="F22" s="85" t="str">
        <f t="shared" si="6"/>
        <v>0</v>
      </c>
      <c r="G22" s="341">
        <v>0.0</v>
      </c>
      <c r="H22" s="85" t="str">
        <f t="shared" si="7"/>
        <v>0</v>
      </c>
    </row>
    <row r="23" ht="14.25" customHeight="1">
      <c r="A23" s="342" t="s">
        <v>585</v>
      </c>
      <c r="B23" s="339">
        <v>0.5</v>
      </c>
      <c r="C23" s="85" t="str">
        <f>B9*B23</f>
        <v>2250</v>
      </c>
      <c r="D23" s="85"/>
      <c r="E23" s="340"/>
      <c r="F23" s="85"/>
      <c r="G23" s="341"/>
      <c r="H23" s="85"/>
    </row>
    <row r="24" ht="14.25" customHeight="1">
      <c r="A24" s="338" t="s">
        <v>586</v>
      </c>
      <c r="B24" s="330" t="s">
        <v>587</v>
      </c>
      <c r="C24" s="339">
        <v>0.0</v>
      </c>
      <c r="D24" s="85" t="str">
        <f t="shared" ref="D24:D31" si="8">C$23*C24</f>
        <v>0</v>
      </c>
      <c r="E24" s="340">
        <v>10.0</v>
      </c>
      <c r="F24" s="85" t="str">
        <f t="shared" ref="F24:F31" si="9">D24*E24</f>
        <v>0</v>
      </c>
      <c r="G24" s="341">
        <v>0.1</v>
      </c>
      <c r="H24" s="85" t="str">
        <f t="shared" ref="H24:H31" si="10">(F24-F24*G24)</f>
        <v>0</v>
      </c>
    </row>
    <row r="25" ht="14.25" customHeight="1">
      <c r="A25" s="20"/>
      <c r="B25" s="330" t="s">
        <v>588</v>
      </c>
      <c r="C25" s="339">
        <v>0.4</v>
      </c>
      <c r="D25" s="85" t="str">
        <f t="shared" si="8"/>
        <v>900</v>
      </c>
      <c r="E25" s="340">
        <v>7.0</v>
      </c>
      <c r="F25" s="85" t="str">
        <f t="shared" si="9"/>
        <v>6300</v>
      </c>
      <c r="G25" s="341">
        <v>0.05</v>
      </c>
      <c r="H25" s="85" t="str">
        <f t="shared" si="10"/>
        <v>5985</v>
      </c>
    </row>
    <row r="26" ht="14.25" customHeight="1">
      <c r="A26" s="20"/>
      <c r="B26" s="330" t="s">
        <v>583</v>
      </c>
      <c r="C26" s="339">
        <v>0.0</v>
      </c>
      <c r="D26" s="85" t="str">
        <f t="shared" si="8"/>
        <v>0</v>
      </c>
      <c r="E26" s="340">
        <v>10.0</v>
      </c>
      <c r="F26" s="85" t="str">
        <f t="shared" si="9"/>
        <v>0</v>
      </c>
      <c r="G26" s="341">
        <v>0.05</v>
      </c>
      <c r="H26" s="85" t="str">
        <f t="shared" si="10"/>
        <v>0</v>
      </c>
    </row>
    <row r="27" ht="14.25" customHeight="1">
      <c r="A27" s="20"/>
      <c r="B27" s="330" t="s">
        <v>580</v>
      </c>
      <c r="C27" s="339">
        <v>0.0</v>
      </c>
      <c r="D27" s="85" t="str">
        <f t="shared" si="8"/>
        <v>0</v>
      </c>
      <c r="E27" s="340">
        <v>20.0</v>
      </c>
      <c r="F27" s="85" t="str">
        <f t="shared" si="9"/>
        <v>0</v>
      </c>
      <c r="G27" s="341">
        <v>0.0</v>
      </c>
      <c r="H27" s="85" t="str">
        <f t="shared" si="10"/>
        <v>0</v>
      </c>
    </row>
    <row r="28" ht="14.25" customHeight="1">
      <c r="A28" s="20"/>
      <c r="B28" s="330" t="s">
        <v>589</v>
      </c>
      <c r="C28" s="339">
        <v>0.0</v>
      </c>
      <c r="D28" s="85" t="str">
        <f t="shared" si="8"/>
        <v>0</v>
      </c>
      <c r="E28" s="340"/>
      <c r="F28" s="85" t="str">
        <f t="shared" si="9"/>
        <v>0</v>
      </c>
      <c r="G28" s="341">
        <v>0.0</v>
      </c>
      <c r="H28" s="85" t="str">
        <f t="shared" si="10"/>
        <v>0</v>
      </c>
    </row>
    <row r="29" ht="14.25" customHeight="1">
      <c r="A29" s="20"/>
      <c r="B29" s="330"/>
      <c r="C29" s="339">
        <v>0.0</v>
      </c>
      <c r="D29" s="85" t="str">
        <f t="shared" si="8"/>
        <v>0</v>
      </c>
      <c r="E29" s="340"/>
      <c r="F29" s="85" t="str">
        <f t="shared" si="9"/>
        <v>0</v>
      </c>
      <c r="G29" s="341">
        <v>0.0</v>
      </c>
      <c r="H29" s="85" t="str">
        <f t="shared" si="10"/>
        <v>0</v>
      </c>
    </row>
    <row r="30" ht="14.25" customHeight="1">
      <c r="A30" s="20"/>
      <c r="B30" s="330"/>
      <c r="C30" s="339">
        <v>0.0</v>
      </c>
      <c r="D30" s="85" t="str">
        <f t="shared" si="8"/>
        <v>0</v>
      </c>
      <c r="E30" s="340"/>
      <c r="F30" s="85" t="str">
        <f t="shared" si="9"/>
        <v>0</v>
      </c>
      <c r="G30" s="341">
        <v>0.0</v>
      </c>
      <c r="H30" s="85" t="str">
        <f t="shared" si="10"/>
        <v>0</v>
      </c>
    </row>
    <row r="31" ht="14.25" customHeight="1">
      <c r="A31" s="21"/>
      <c r="B31" s="330"/>
      <c r="C31" s="339">
        <v>0.0</v>
      </c>
      <c r="D31" s="85" t="str">
        <f t="shared" si="8"/>
        <v>0</v>
      </c>
      <c r="E31" s="340"/>
      <c r="F31" s="85" t="str">
        <f t="shared" si="9"/>
        <v>0</v>
      </c>
      <c r="G31" s="341">
        <v>0.0</v>
      </c>
      <c r="H31" s="85" t="str">
        <f t="shared" si="10"/>
        <v>0</v>
      </c>
    </row>
    <row r="32" ht="14.25" customHeight="1">
      <c r="A32" s="342" t="s">
        <v>590</v>
      </c>
      <c r="B32" s="339">
        <v>0.0</v>
      </c>
      <c r="C32" s="85" t="str">
        <f>B9*B32</f>
        <v>0</v>
      </c>
      <c r="D32" s="85"/>
      <c r="E32" s="340"/>
      <c r="F32" s="85"/>
      <c r="G32" s="341"/>
      <c r="H32" s="85"/>
    </row>
    <row r="33" ht="14.25" customHeight="1">
      <c r="A33" s="343" t="s">
        <v>591</v>
      </c>
      <c r="B33" s="330" t="s">
        <v>592</v>
      </c>
      <c r="C33" s="339">
        <v>0.0</v>
      </c>
      <c r="D33" s="85" t="str">
        <f t="shared" ref="D33:D36" si="11">C$32*C33</f>
        <v>0</v>
      </c>
      <c r="E33" s="340"/>
      <c r="F33" s="85" t="str">
        <f t="shared" ref="F33:F36" si="12">D33*E33</f>
        <v>0</v>
      </c>
      <c r="G33" s="341">
        <v>0.0</v>
      </c>
      <c r="H33" s="85" t="str">
        <f t="shared" ref="H33:H36" si="13">(F33-F33*G33)</f>
        <v>0</v>
      </c>
    </row>
    <row r="34" ht="14.25" customHeight="1">
      <c r="A34" s="18"/>
      <c r="B34" s="330"/>
      <c r="C34" s="339">
        <v>0.0</v>
      </c>
      <c r="D34" s="85" t="str">
        <f t="shared" si="11"/>
        <v>0</v>
      </c>
      <c r="E34" s="340"/>
      <c r="F34" s="85" t="str">
        <f t="shared" si="12"/>
        <v>0</v>
      </c>
      <c r="G34" s="341">
        <v>0.0</v>
      </c>
      <c r="H34" s="85" t="str">
        <f t="shared" si="13"/>
        <v>0</v>
      </c>
    </row>
    <row r="35" ht="14.25" customHeight="1">
      <c r="A35" s="18"/>
      <c r="B35" s="330"/>
      <c r="C35" s="339">
        <v>0.0</v>
      </c>
      <c r="D35" s="85" t="str">
        <f t="shared" si="11"/>
        <v>0</v>
      </c>
      <c r="E35" s="340"/>
      <c r="F35" s="85" t="str">
        <f t="shared" si="12"/>
        <v>0</v>
      </c>
      <c r="G35" s="341">
        <v>0.0</v>
      </c>
      <c r="H35" s="85" t="str">
        <f t="shared" si="13"/>
        <v>0</v>
      </c>
    </row>
    <row r="36" ht="14.25" customHeight="1">
      <c r="A36" s="344"/>
      <c r="B36" s="330"/>
      <c r="C36" s="339">
        <v>0.0</v>
      </c>
      <c r="D36" s="85" t="str">
        <f t="shared" si="11"/>
        <v>0</v>
      </c>
      <c r="E36" s="340"/>
      <c r="F36" s="85" t="str">
        <f t="shared" si="12"/>
        <v>0</v>
      </c>
      <c r="G36" s="341">
        <v>0.0</v>
      </c>
      <c r="H36" s="85" t="str">
        <f t="shared" si="13"/>
        <v>0</v>
      </c>
    </row>
    <row r="37" ht="14.25" customHeight="1">
      <c r="A37" s="71" t="s">
        <v>593</v>
      </c>
    </row>
    <row r="38" ht="14.25" customHeight="1"/>
    <row r="39" ht="14.25" customHeight="1">
      <c r="A39" s="345" t="s">
        <v>594</v>
      </c>
      <c r="B39" s="5"/>
      <c r="C39" s="5"/>
      <c r="D39" s="5"/>
      <c r="E39" s="5"/>
      <c r="F39" s="5"/>
      <c r="G39" s="5"/>
      <c r="H39" s="6"/>
    </row>
    <row r="40" ht="14.25" customHeight="1">
      <c r="A40" s="346" t="s">
        <v>190</v>
      </c>
      <c r="B40" s="347">
        <v>0.7</v>
      </c>
      <c r="C40" s="347" t="str">
        <f t="shared" ref="C40:H40" si="14">B40+0.05</f>
        <v>75%</v>
      </c>
      <c r="D40" s="347" t="str">
        <f t="shared" si="14"/>
        <v>80%</v>
      </c>
      <c r="E40" s="347" t="str">
        <f t="shared" si="14"/>
        <v>85%</v>
      </c>
      <c r="F40" s="347" t="str">
        <f t="shared" si="14"/>
        <v>90%</v>
      </c>
      <c r="G40" s="347" t="str">
        <f t="shared" si="14"/>
        <v>95%</v>
      </c>
      <c r="H40" s="347" t="str">
        <f t="shared" si="14"/>
        <v>100%</v>
      </c>
    </row>
    <row r="41" ht="14.25" customHeight="1">
      <c r="A41" s="21"/>
      <c r="B41" s="328" t="s">
        <v>193</v>
      </c>
      <c r="C41" s="328" t="s">
        <v>194</v>
      </c>
      <c r="D41" s="328" t="s">
        <v>195</v>
      </c>
      <c r="E41" s="328" t="s">
        <v>196</v>
      </c>
      <c r="F41" s="328" t="s">
        <v>197</v>
      </c>
      <c r="G41" s="328" t="s">
        <v>198</v>
      </c>
      <c r="H41" s="328" t="s">
        <v>199</v>
      </c>
    </row>
    <row r="42" ht="14.25" customHeight="1">
      <c r="A42" s="85" t="str">
        <f t="shared" ref="A42:A50" si="16">B14</f>
        <v>Soybean</v>
      </c>
      <c r="B42" s="85" t="str">
        <f>H14*$B$40</f>
        <v>0</v>
      </c>
      <c r="C42" s="85" t="str">
        <f t="shared" ref="C42:H42" si="15">(B42/B$40)*C$40</f>
        <v>0</v>
      </c>
      <c r="D42" s="85" t="str">
        <f t="shared" si="15"/>
        <v>0</v>
      </c>
      <c r="E42" s="85" t="str">
        <f t="shared" si="15"/>
        <v>0</v>
      </c>
      <c r="F42" s="85" t="str">
        <f t="shared" si="15"/>
        <v>0</v>
      </c>
      <c r="G42" s="85" t="str">
        <f t="shared" si="15"/>
        <v>0</v>
      </c>
      <c r="H42" s="85" t="str">
        <f t="shared" si="15"/>
        <v>0</v>
      </c>
      <c r="I42" s="348"/>
      <c r="J42" s="348"/>
    </row>
    <row r="43" ht="14.25" customHeight="1">
      <c r="A43" s="85" t="str">
        <f t="shared" si="16"/>
        <v>Red Gram/Tur</v>
      </c>
      <c r="B43" s="85" t="str">
        <f>H15*$B$40*0</f>
        <v>0</v>
      </c>
      <c r="C43" s="85" t="str">
        <f t="shared" ref="C43:H43" si="17">(B43/B$40)*C$40</f>
        <v>0</v>
      </c>
      <c r="D43" s="85" t="str">
        <f t="shared" si="17"/>
        <v>0</v>
      </c>
      <c r="E43" s="85" t="str">
        <f t="shared" si="17"/>
        <v>0</v>
      </c>
      <c r="F43" s="85" t="str">
        <f t="shared" si="17"/>
        <v>0</v>
      </c>
      <c r="G43" s="85" t="str">
        <f t="shared" si="17"/>
        <v>0</v>
      </c>
      <c r="H43" s="85" t="str">
        <f t="shared" si="17"/>
        <v>0</v>
      </c>
    </row>
    <row r="44" ht="14.25" customHeight="1">
      <c r="A44" s="85" t="str">
        <f t="shared" si="16"/>
        <v>Paddy/Rice</v>
      </c>
      <c r="B44" s="85" t="str">
        <f>H16*$B$40</f>
        <v>0</v>
      </c>
      <c r="C44" s="85" t="str">
        <f t="shared" ref="C44:H44" si="18">(B44/B$40)*C$40</f>
        <v>0</v>
      </c>
      <c r="D44" s="85" t="str">
        <f t="shared" si="18"/>
        <v>0</v>
      </c>
      <c r="E44" s="85" t="str">
        <f t="shared" si="18"/>
        <v>0</v>
      </c>
      <c r="F44" s="85" t="str">
        <f t="shared" si="18"/>
        <v>0</v>
      </c>
      <c r="G44" s="85" t="str">
        <f t="shared" si="18"/>
        <v>0</v>
      </c>
      <c r="H44" s="85" t="str">
        <f t="shared" si="18"/>
        <v>0</v>
      </c>
    </row>
    <row r="45" ht="14.25" customHeight="1">
      <c r="A45" s="85" t="str">
        <f t="shared" si="16"/>
        <v>Green Gram/ Moong</v>
      </c>
      <c r="B45" s="85" t="str">
        <f>H17*$B$40*0</f>
        <v>0</v>
      </c>
      <c r="C45" s="85" t="str">
        <f t="shared" ref="C45:H45" si="19">(B45/B$40)*C$40</f>
        <v>0</v>
      </c>
      <c r="D45" s="85" t="str">
        <f t="shared" si="19"/>
        <v>0</v>
      </c>
      <c r="E45" s="85" t="str">
        <f t="shared" si="19"/>
        <v>0</v>
      </c>
      <c r="F45" s="85" t="str">
        <f t="shared" si="19"/>
        <v>0</v>
      </c>
      <c r="G45" s="85" t="str">
        <f t="shared" si="19"/>
        <v>0</v>
      </c>
      <c r="H45" s="85" t="str">
        <f t="shared" si="19"/>
        <v>0</v>
      </c>
    </row>
    <row r="46" ht="14.25" customHeight="1">
      <c r="A46" s="85" t="str">
        <f t="shared" si="16"/>
        <v>Maize</v>
      </c>
      <c r="B46" s="85" t="str">
        <f>H18*$B$40</f>
        <v>0</v>
      </c>
      <c r="C46" s="85" t="str">
        <f t="shared" ref="C46:H46" si="20">(B46/B$40)*C$40</f>
        <v>0</v>
      </c>
      <c r="D46" s="85" t="str">
        <f t="shared" si="20"/>
        <v>0</v>
      </c>
      <c r="E46" s="85" t="str">
        <f t="shared" si="20"/>
        <v>0</v>
      </c>
      <c r="F46" s="85" t="str">
        <f t="shared" si="20"/>
        <v>0</v>
      </c>
      <c r="G46" s="85" t="str">
        <f t="shared" si="20"/>
        <v>0</v>
      </c>
      <c r="H46" s="85" t="str">
        <f t="shared" si="20"/>
        <v>0</v>
      </c>
    </row>
    <row r="47" ht="14.25" customHeight="1">
      <c r="A47" s="85" t="str">
        <f t="shared" si="16"/>
        <v>Black Gram/Udid</v>
      </c>
      <c r="B47" s="85" t="str">
        <f>H19*$B$40*0</f>
        <v>0</v>
      </c>
      <c r="C47" s="85" t="str">
        <f t="shared" ref="C47:H47" si="21">(B47/B$40)*C$40</f>
        <v>0</v>
      </c>
      <c r="D47" s="85" t="str">
        <f t="shared" si="21"/>
        <v>0</v>
      </c>
      <c r="E47" s="85" t="str">
        <f t="shared" si="21"/>
        <v>0</v>
      </c>
      <c r="F47" s="85" t="str">
        <f t="shared" si="21"/>
        <v>0</v>
      </c>
      <c r="G47" s="85" t="str">
        <f t="shared" si="21"/>
        <v>0</v>
      </c>
      <c r="H47" s="85" t="str">
        <f t="shared" si="21"/>
        <v>0</v>
      </c>
    </row>
    <row r="48" ht="14.25" customHeight="1">
      <c r="A48" s="85" t="str">
        <f t="shared" si="16"/>
        <v>Bajra</v>
      </c>
      <c r="B48" s="85" t="str">
        <f t="shared" ref="B48:B50" si="23">H20*$B$40</f>
        <v>0</v>
      </c>
      <c r="C48" s="85" t="str">
        <f t="shared" ref="C48:H48" si="22">(B48/B$40)*C$40</f>
        <v>0</v>
      </c>
      <c r="D48" s="85" t="str">
        <f t="shared" si="22"/>
        <v>0</v>
      </c>
      <c r="E48" s="85" t="str">
        <f t="shared" si="22"/>
        <v>0</v>
      </c>
      <c r="F48" s="85" t="str">
        <f t="shared" si="22"/>
        <v>0</v>
      </c>
      <c r="G48" s="85" t="str">
        <f t="shared" si="22"/>
        <v>0</v>
      </c>
      <c r="H48" s="85" t="str">
        <f t="shared" si="22"/>
        <v>0</v>
      </c>
    </row>
    <row r="49" ht="14.25" customHeight="1">
      <c r="A49" s="85" t="str">
        <f t="shared" si="16"/>
        <v>Jawar</v>
      </c>
      <c r="B49" s="85" t="str">
        <f t="shared" si="23"/>
        <v>0</v>
      </c>
      <c r="C49" s="85" t="str">
        <f t="shared" ref="C49:H49" si="24">(B49/B$40)*C$40</f>
        <v>0</v>
      </c>
      <c r="D49" s="85" t="str">
        <f t="shared" si="24"/>
        <v>0</v>
      </c>
      <c r="E49" s="85" t="str">
        <f t="shared" si="24"/>
        <v>0</v>
      </c>
      <c r="F49" s="85" t="str">
        <f t="shared" si="24"/>
        <v>0</v>
      </c>
      <c r="G49" s="85" t="str">
        <f t="shared" si="24"/>
        <v>0</v>
      </c>
      <c r="H49" s="85" t="str">
        <f t="shared" si="24"/>
        <v>0</v>
      </c>
    </row>
    <row r="50" ht="14.25" customHeight="1">
      <c r="A50" s="85" t="str">
        <f t="shared" si="16"/>
        <v>Sunflower</v>
      </c>
      <c r="B50" s="85" t="str">
        <f t="shared" si="23"/>
        <v>0</v>
      </c>
      <c r="C50" s="85" t="str">
        <f t="shared" ref="C50:H50" si="25">(B50/B$40)*C$40</f>
        <v>0</v>
      </c>
      <c r="D50" s="85" t="str">
        <f t="shared" si="25"/>
        <v>0</v>
      </c>
      <c r="E50" s="85" t="str">
        <f t="shared" si="25"/>
        <v>0</v>
      </c>
      <c r="F50" s="85" t="str">
        <f t="shared" si="25"/>
        <v>0</v>
      </c>
      <c r="G50" s="85" t="str">
        <f t="shared" si="25"/>
        <v>0</v>
      </c>
      <c r="H50" s="85" t="str">
        <f t="shared" si="25"/>
        <v>0</v>
      </c>
    </row>
    <row r="51" ht="14.25" customHeight="1">
      <c r="A51" s="85" t="str">
        <f t="shared" ref="A51:A58" si="27">B24</f>
        <v>Wheat</v>
      </c>
      <c r="B51" s="85" t="str">
        <f>H24*$B$40</f>
        <v>0</v>
      </c>
      <c r="C51" s="85" t="str">
        <f t="shared" ref="C51:H51" si="26">(B51/B$40)*C$40</f>
        <v>0</v>
      </c>
      <c r="D51" s="85" t="str">
        <f t="shared" si="26"/>
        <v>0</v>
      </c>
      <c r="E51" s="85" t="str">
        <f t="shared" si="26"/>
        <v>0</v>
      </c>
      <c r="F51" s="85" t="str">
        <f t="shared" si="26"/>
        <v>0</v>
      </c>
      <c r="G51" s="85" t="str">
        <f t="shared" si="26"/>
        <v>0</v>
      </c>
      <c r="H51" s="85" t="str">
        <f t="shared" si="26"/>
        <v>0</v>
      </c>
    </row>
    <row r="52" ht="14.25" customHeight="1">
      <c r="A52" s="85" t="str">
        <f t="shared" si="27"/>
        <v>Bengal Gram/Channa</v>
      </c>
      <c r="B52" s="85" t="str">
        <f>H25*$B$40*0</f>
        <v>0</v>
      </c>
      <c r="C52" s="85" t="str">
        <f t="shared" ref="C52:H52" si="28">(B52/B$40)*C$40</f>
        <v>0</v>
      </c>
      <c r="D52" s="85" t="str">
        <f t="shared" si="28"/>
        <v>0</v>
      </c>
      <c r="E52" s="85" t="str">
        <f t="shared" si="28"/>
        <v>0</v>
      </c>
      <c r="F52" s="85" t="str">
        <f t="shared" si="28"/>
        <v>0</v>
      </c>
      <c r="G52" s="85" t="str">
        <f t="shared" si="28"/>
        <v>0</v>
      </c>
      <c r="H52" s="85" t="str">
        <f t="shared" si="28"/>
        <v>0</v>
      </c>
    </row>
    <row r="53" ht="14.25" customHeight="1">
      <c r="A53" s="85" t="str">
        <f t="shared" si="27"/>
        <v>Jawar</v>
      </c>
      <c r="B53" s="85" t="str">
        <f t="shared" ref="B53:B58" si="30">H26*$B$40</f>
        <v>0</v>
      </c>
      <c r="C53" s="85" t="str">
        <f t="shared" ref="C53:H53" si="29">(B53/B$40)*C$40</f>
        <v>0</v>
      </c>
      <c r="D53" s="85" t="str">
        <f t="shared" si="29"/>
        <v>0</v>
      </c>
      <c r="E53" s="85" t="str">
        <f t="shared" si="29"/>
        <v>0</v>
      </c>
      <c r="F53" s="85" t="str">
        <f t="shared" si="29"/>
        <v>0</v>
      </c>
      <c r="G53" s="85" t="str">
        <f t="shared" si="29"/>
        <v>0</v>
      </c>
      <c r="H53" s="85" t="str">
        <f t="shared" si="29"/>
        <v>0</v>
      </c>
    </row>
    <row r="54" ht="14.25" customHeight="1">
      <c r="A54" s="85" t="str">
        <f t="shared" si="27"/>
        <v>Maize</v>
      </c>
      <c r="B54" s="85" t="str">
        <f t="shared" si="30"/>
        <v>0</v>
      </c>
      <c r="C54" s="85" t="str">
        <f t="shared" ref="C54:H54" si="31">(B54/B$40)*C$40</f>
        <v>0</v>
      </c>
      <c r="D54" s="85" t="str">
        <f t="shared" si="31"/>
        <v>0</v>
      </c>
      <c r="E54" s="85" t="str">
        <f t="shared" si="31"/>
        <v>0</v>
      </c>
      <c r="F54" s="85" t="str">
        <f t="shared" si="31"/>
        <v>0</v>
      </c>
      <c r="G54" s="85" t="str">
        <f t="shared" si="31"/>
        <v>0</v>
      </c>
      <c r="H54" s="85" t="str">
        <f t="shared" si="31"/>
        <v>0</v>
      </c>
    </row>
    <row r="55" ht="14.25" customHeight="1">
      <c r="A55" s="85" t="str">
        <f t="shared" si="27"/>
        <v>Safflower</v>
      </c>
      <c r="B55" s="85" t="str">
        <f t="shared" si="30"/>
        <v>0</v>
      </c>
      <c r="C55" s="85" t="str">
        <f t="shared" ref="C55:H55" si="32">(B55/B$40)*C$40</f>
        <v>0</v>
      </c>
      <c r="D55" s="85" t="str">
        <f t="shared" si="32"/>
        <v>0</v>
      </c>
      <c r="E55" s="85" t="str">
        <f t="shared" si="32"/>
        <v>0</v>
      </c>
      <c r="F55" s="85" t="str">
        <f t="shared" si="32"/>
        <v>0</v>
      </c>
      <c r="G55" s="85" t="str">
        <f t="shared" si="32"/>
        <v>0</v>
      </c>
      <c r="H55" s="85" t="str">
        <f t="shared" si="32"/>
        <v>0</v>
      </c>
    </row>
    <row r="56" ht="14.25" customHeight="1">
      <c r="A56" s="85" t="str">
        <f t="shared" si="27"/>
        <v/>
      </c>
      <c r="B56" s="85" t="str">
        <f t="shared" si="30"/>
        <v>0</v>
      </c>
      <c r="C56" s="85" t="str">
        <f t="shared" ref="C56:H56" si="33">(B56/B$40)*C$40</f>
        <v>0</v>
      </c>
      <c r="D56" s="85" t="str">
        <f t="shared" si="33"/>
        <v>0</v>
      </c>
      <c r="E56" s="85" t="str">
        <f t="shared" si="33"/>
        <v>0</v>
      </c>
      <c r="F56" s="85" t="str">
        <f t="shared" si="33"/>
        <v>0</v>
      </c>
      <c r="G56" s="85" t="str">
        <f t="shared" si="33"/>
        <v>0</v>
      </c>
      <c r="H56" s="85" t="str">
        <f t="shared" si="33"/>
        <v>0</v>
      </c>
    </row>
    <row r="57" ht="14.25" customHeight="1">
      <c r="A57" s="85" t="str">
        <f t="shared" si="27"/>
        <v/>
      </c>
      <c r="B57" s="85" t="str">
        <f t="shared" si="30"/>
        <v>0</v>
      </c>
      <c r="C57" s="85" t="str">
        <f t="shared" ref="C57:H57" si="34">(B57/B$40)*C$40</f>
        <v>0</v>
      </c>
      <c r="D57" s="85" t="str">
        <f t="shared" si="34"/>
        <v>0</v>
      </c>
      <c r="E57" s="85" t="str">
        <f t="shared" si="34"/>
        <v>0</v>
      </c>
      <c r="F57" s="85" t="str">
        <f t="shared" si="34"/>
        <v>0</v>
      </c>
      <c r="G57" s="85" t="str">
        <f t="shared" si="34"/>
        <v>0</v>
      </c>
      <c r="H57" s="85" t="str">
        <f t="shared" si="34"/>
        <v>0</v>
      </c>
    </row>
    <row r="58" ht="14.25" customHeight="1">
      <c r="A58" s="85" t="str">
        <f t="shared" si="27"/>
        <v/>
      </c>
      <c r="B58" s="85" t="str">
        <f t="shared" si="30"/>
        <v>0</v>
      </c>
      <c r="C58" s="85" t="str">
        <f t="shared" ref="C58:H58" si="35">(B58/B$40)*C$40</f>
        <v>0</v>
      </c>
      <c r="D58" s="85" t="str">
        <f t="shared" si="35"/>
        <v>0</v>
      </c>
      <c r="E58" s="85" t="str">
        <f t="shared" si="35"/>
        <v>0</v>
      </c>
      <c r="F58" s="85" t="str">
        <f t="shared" si="35"/>
        <v>0</v>
      </c>
      <c r="G58" s="85" t="str">
        <f t="shared" si="35"/>
        <v>0</v>
      </c>
      <c r="H58" s="85" t="str">
        <f t="shared" si="35"/>
        <v>0</v>
      </c>
    </row>
    <row r="59" ht="14.25" customHeight="1">
      <c r="A59" s="85" t="str">
        <f t="shared" ref="A59:A62" si="37">B33</f>
        <v>Groundnut</v>
      </c>
      <c r="B59" s="85" t="str">
        <f t="shared" ref="B59:B62" si="38">H33*$B$40</f>
        <v>0</v>
      </c>
      <c r="C59" s="85" t="str">
        <f t="shared" ref="C59:H59" si="36">(B59/B$40)*C$40</f>
        <v>0</v>
      </c>
      <c r="D59" s="85" t="str">
        <f t="shared" si="36"/>
        <v>0</v>
      </c>
      <c r="E59" s="85" t="str">
        <f t="shared" si="36"/>
        <v>0</v>
      </c>
      <c r="F59" s="85" t="str">
        <f t="shared" si="36"/>
        <v>0</v>
      </c>
      <c r="G59" s="85" t="str">
        <f t="shared" si="36"/>
        <v>0</v>
      </c>
      <c r="H59" s="85" t="str">
        <f t="shared" si="36"/>
        <v>0</v>
      </c>
    </row>
    <row r="60" ht="14.25" customHeight="1">
      <c r="A60" s="85" t="str">
        <f t="shared" si="37"/>
        <v/>
      </c>
      <c r="B60" s="85" t="str">
        <f t="shared" si="38"/>
        <v>0</v>
      </c>
      <c r="C60" s="85" t="str">
        <f t="shared" ref="C60:H60" si="39">(B60/B$40)*C$40</f>
        <v>0</v>
      </c>
      <c r="D60" s="85" t="str">
        <f t="shared" si="39"/>
        <v>0</v>
      </c>
      <c r="E60" s="85" t="str">
        <f t="shared" si="39"/>
        <v>0</v>
      </c>
      <c r="F60" s="85" t="str">
        <f t="shared" si="39"/>
        <v>0</v>
      </c>
      <c r="G60" s="85" t="str">
        <f t="shared" si="39"/>
        <v>0</v>
      </c>
      <c r="H60" s="85" t="str">
        <f t="shared" si="39"/>
        <v>0</v>
      </c>
    </row>
    <row r="61" ht="14.25" customHeight="1">
      <c r="A61" s="85" t="str">
        <f t="shared" si="37"/>
        <v/>
      </c>
      <c r="B61" s="85" t="str">
        <f t="shared" si="38"/>
        <v>0</v>
      </c>
      <c r="C61" s="85" t="str">
        <f t="shared" ref="C61:H61" si="40">(B61/B$40)*C$40</f>
        <v>0</v>
      </c>
      <c r="D61" s="85" t="str">
        <f t="shared" si="40"/>
        <v>0</v>
      </c>
      <c r="E61" s="85" t="str">
        <f t="shared" si="40"/>
        <v>0</v>
      </c>
      <c r="F61" s="85" t="str">
        <f t="shared" si="40"/>
        <v>0</v>
      </c>
      <c r="G61" s="85" t="str">
        <f t="shared" si="40"/>
        <v>0</v>
      </c>
      <c r="H61" s="85" t="str">
        <f t="shared" si="40"/>
        <v>0</v>
      </c>
    </row>
    <row r="62" ht="14.25" customHeight="1">
      <c r="A62" s="85" t="str">
        <f t="shared" si="37"/>
        <v/>
      </c>
      <c r="B62" s="85" t="str">
        <f t="shared" si="38"/>
        <v>0</v>
      </c>
      <c r="C62" s="85" t="str">
        <f t="shared" ref="C62:H62" si="41">(B62/B$40)*C$40</f>
        <v>0</v>
      </c>
      <c r="D62" s="85" t="str">
        <f t="shared" si="41"/>
        <v>0</v>
      </c>
      <c r="E62" s="85" t="str">
        <f t="shared" si="41"/>
        <v>0</v>
      </c>
      <c r="F62" s="85" t="str">
        <f t="shared" si="41"/>
        <v>0</v>
      </c>
      <c r="G62" s="85" t="str">
        <f t="shared" si="41"/>
        <v>0</v>
      </c>
      <c r="H62" s="85" t="str">
        <f t="shared" si="41"/>
        <v>0</v>
      </c>
    </row>
    <row r="63" ht="14.25" customHeight="1"/>
    <row r="64" ht="14.25" customHeight="1">
      <c r="A64" s="349" t="s">
        <v>595</v>
      </c>
      <c r="B64" s="5"/>
      <c r="C64" s="5"/>
      <c r="D64" s="5"/>
      <c r="E64" s="5"/>
      <c r="F64" s="5"/>
      <c r="G64" s="5"/>
      <c r="H64" s="6"/>
    </row>
    <row r="65" ht="14.25" customHeight="1">
      <c r="A65" s="350" t="s">
        <v>190</v>
      </c>
      <c r="B65" s="351">
        <v>0.3</v>
      </c>
      <c r="C65" s="351" t="str">
        <f t="shared" ref="C65:H65" si="42">B65+0.05</f>
        <v>35%</v>
      </c>
      <c r="D65" s="351" t="str">
        <f t="shared" si="42"/>
        <v>40%</v>
      </c>
      <c r="E65" s="351" t="str">
        <f t="shared" si="42"/>
        <v>45%</v>
      </c>
      <c r="F65" s="351" t="str">
        <f t="shared" si="42"/>
        <v>50%</v>
      </c>
      <c r="G65" s="351" t="str">
        <f t="shared" si="42"/>
        <v>55%</v>
      </c>
      <c r="H65" s="351" t="str">
        <f t="shared" si="42"/>
        <v>60%</v>
      </c>
    </row>
    <row r="66" ht="14.25" customHeight="1">
      <c r="A66" s="21"/>
      <c r="B66" s="328" t="s">
        <v>193</v>
      </c>
      <c r="C66" s="328" t="s">
        <v>194</v>
      </c>
      <c r="D66" s="328" t="s">
        <v>195</v>
      </c>
      <c r="E66" s="328" t="s">
        <v>196</v>
      </c>
      <c r="F66" s="328" t="s">
        <v>197</v>
      </c>
      <c r="G66" s="328" t="s">
        <v>198</v>
      </c>
      <c r="H66" s="328" t="s">
        <v>199</v>
      </c>
    </row>
    <row r="67" ht="14.25" customHeight="1">
      <c r="A67" s="85" t="str">
        <f t="shared" ref="A67:A87" si="44">A42</f>
        <v>Soybean</v>
      </c>
      <c r="B67" s="85" t="str">
        <f>H14*$B$65*0</f>
        <v>0</v>
      </c>
      <c r="C67" s="85" t="str">
        <f t="shared" ref="C67:H67" si="43">(B67/B$65)*C$65</f>
        <v>0</v>
      </c>
      <c r="D67" s="85" t="str">
        <f t="shared" si="43"/>
        <v>0</v>
      </c>
      <c r="E67" s="85" t="str">
        <f t="shared" si="43"/>
        <v>0</v>
      </c>
      <c r="F67" s="85" t="str">
        <f t="shared" si="43"/>
        <v>0</v>
      </c>
      <c r="G67" s="85" t="str">
        <f t="shared" si="43"/>
        <v>0</v>
      </c>
      <c r="H67" s="85" t="str">
        <f t="shared" si="43"/>
        <v>0</v>
      </c>
    </row>
    <row r="68" ht="14.25" customHeight="1">
      <c r="A68" s="85" t="str">
        <f t="shared" si="44"/>
        <v>Red Gram/Tur</v>
      </c>
      <c r="B68" s="85" t="str">
        <f t="shared" ref="B68:B75" si="46">H15*$B$65</f>
        <v>2693.25</v>
      </c>
      <c r="C68" s="85" t="str">
        <f t="shared" ref="C68:H68" si="45">(B68/B$65)*C$65</f>
        <v>3142.125</v>
      </c>
      <c r="D68" s="85" t="str">
        <f t="shared" si="45"/>
        <v>3591</v>
      </c>
      <c r="E68" s="85" t="str">
        <f t="shared" si="45"/>
        <v>4039.875</v>
      </c>
      <c r="F68" s="85" t="str">
        <f t="shared" si="45"/>
        <v>4488.75</v>
      </c>
      <c r="G68" s="85" t="str">
        <f t="shared" si="45"/>
        <v>4937.625</v>
      </c>
      <c r="H68" s="85" t="str">
        <f t="shared" si="45"/>
        <v>5386.5</v>
      </c>
    </row>
    <row r="69" ht="14.25" customHeight="1">
      <c r="A69" s="85" t="str">
        <f t="shared" si="44"/>
        <v>Paddy/Rice</v>
      </c>
      <c r="B69" s="85" t="str">
        <f t="shared" si="46"/>
        <v>0</v>
      </c>
      <c r="C69" s="85" t="str">
        <f t="shared" ref="C69:H69" si="47">(B69/B$65)*C$65</f>
        <v>0</v>
      </c>
      <c r="D69" s="85" t="str">
        <f t="shared" si="47"/>
        <v>0</v>
      </c>
      <c r="E69" s="85" t="str">
        <f t="shared" si="47"/>
        <v>0</v>
      </c>
      <c r="F69" s="85" t="str">
        <f t="shared" si="47"/>
        <v>0</v>
      </c>
      <c r="G69" s="85" t="str">
        <f t="shared" si="47"/>
        <v>0</v>
      </c>
      <c r="H69" s="85" t="str">
        <f t="shared" si="47"/>
        <v>0</v>
      </c>
    </row>
    <row r="70" ht="14.25" customHeight="1">
      <c r="A70" s="85" t="str">
        <f t="shared" si="44"/>
        <v>Green Gram/ Moong</v>
      </c>
      <c r="B70" s="85" t="str">
        <f t="shared" si="46"/>
        <v>897.75</v>
      </c>
      <c r="C70" s="85" t="str">
        <f t="shared" ref="C70:H70" si="48">(B70/B$65)*C$65</f>
        <v>1047.375</v>
      </c>
      <c r="D70" s="85" t="str">
        <f t="shared" si="48"/>
        <v>1197</v>
      </c>
      <c r="E70" s="85" t="str">
        <f t="shared" si="48"/>
        <v>1346.625</v>
      </c>
      <c r="F70" s="85" t="str">
        <f t="shared" si="48"/>
        <v>1496.25</v>
      </c>
      <c r="G70" s="85" t="str">
        <f t="shared" si="48"/>
        <v>1645.875</v>
      </c>
      <c r="H70" s="85" t="str">
        <f t="shared" si="48"/>
        <v>1795.5</v>
      </c>
    </row>
    <row r="71" ht="14.25" customHeight="1">
      <c r="A71" s="85" t="str">
        <f t="shared" si="44"/>
        <v>Maize</v>
      </c>
      <c r="B71" s="85" t="str">
        <f t="shared" si="46"/>
        <v>0</v>
      </c>
      <c r="C71" s="85" t="str">
        <f t="shared" ref="C71:H71" si="49">(B71/B$65)*C$65</f>
        <v>0</v>
      </c>
      <c r="D71" s="85" t="str">
        <f t="shared" si="49"/>
        <v>0</v>
      </c>
      <c r="E71" s="85" t="str">
        <f t="shared" si="49"/>
        <v>0</v>
      </c>
      <c r="F71" s="85" t="str">
        <f t="shared" si="49"/>
        <v>0</v>
      </c>
      <c r="G71" s="85" t="str">
        <f t="shared" si="49"/>
        <v>0</v>
      </c>
      <c r="H71" s="85" t="str">
        <f t="shared" si="49"/>
        <v>0</v>
      </c>
    </row>
    <row r="72" ht="14.25" customHeight="1">
      <c r="A72" s="85" t="str">
        <f t="shared" si="44"/>
        <v>Black Gram/Udid</v>
      </c>
      <c r="B72" s="85" t="str">
        <f t="shared" si="46"/>
        <v>769.5</v>
      </c>
      <c r="C72" s="85" t="str">
        <f t="shared" ref="C72:H72" si="50">(B72/B$65)*C$65</f>
        <v>897.75</v>
      </c>
      <c r="D72" s="85" t="str">
        <f t="shared" si="50"/>
        <v>1026</v>
      </c>
      <c r="E72" s="85" t="str">
        <f t="shared" si="50"/>
        <v>1154.25</v>
      </c>
      <c r="F72" s="85" t="str">
        <f t="shared" si="50"/>
        <v>1282.5</v>
      </c>
      <c r="G72" s="85" t="str">
        <f t="shared" si="50"/>
        <v>1410.75</v>
      </c>
      <c r="H72" s="85" t="str">
        <f t="shared" si="50"/>
        <v>1539</v>
      </c>
    </row>
    <row r="73" ht="14.25" customHeight="1">
      <c r="A73" s="85" t="str">
        <f t="shared" si="44"/>
        <v>Bajra</v>
      </c>
      <c r="B73" s="85" t="str">
        <f t="shared" si="46"/>
        <v>0</v>
      </c>
      <c r="C73" s="85" t="str">
        <f t="shared" ref="C73:H73" si="51">(B73/B$65)*C$65</f>
        <v>0</v>
      </c>
      <c r="D73" s="85" t="str">
        <f t="shared" si="51"/>
        <v>0</v>
      </c>
      <c r="E73" s="85" t="str">
        <f t="shared" si="51"/>
        <v>0</v>
      </c>
      <c r="F73" s="85" t="str">
        <f t="shared" si="51"/>
        <v>0</v>
      </c>
      <c r="G73" s="85" t="str">
        <f t="shared" si="51"/>
        <v>0</v>
      </c>
      <c r="H73" s="85" t="str">
        <f t="shared" si="51"/>
        <v>0</v>
      </c>
    </row>
    <row r="74" ht="14.25" customHeight="1">
      <c r="A74" s="85" t="str">
        <f t="shared" si="44"/>
        <v>Jawar</v>
      </c>
      <c r="B74" s="85" t="str">
        <f t="shared" si="46"/>
        <v>0</v>
      </c>
      <c r="C74" s="85" t="str">
        <f t="shared" ref="C74:H74" si="52">(B74/B$65)*C$65</f>
        <v>0</v>
      </c>
      <c r="D74" s="85" t="str">
        <f t="shared" si="52"/>
        <v>0</v>
      </c>
      <c r="E74" s="85" t="str">
        <f t="shared" si="52"/>
        <v>0</v>
      </c>
      <c r="F74" s="85" t="str">
        <f t="shared" si="52"/>
        <v>0</v>
      </c>
      <c r="G74" s="85" t="str">
        <f t="shared" si="52"/>
        <v>0</v>
      </c>
      <c r="H74" s="85" t="str">
        <f t="shared" si="52"/>
        <v>0</v>
      </c>
    </row>
    <row r="75" ht="14.25" customHeight="1">
      <c r="A75" s="85" t="str">
        <f t="shared" si="44"/>
        <v>Sunflower</v>
      </c>
      <c r="B75" s="85" t="str">
        <f t="shared" si="46"/>
        <v>0</v>
      </c>
      <c r="C75" s="85" t="str">
        <f t="shared" ref="C75:H75" si="53">(B75/B$65)*C$65</f>
        <v>0</v>
      </c>
      <c r="D75" s="85" t="str">
        <f t="shared" si="53"/>
        <v>0</v>
      </c>
      <c r="E75" s="85" t="str">
        <f t="shared" si="53"/>
        <v>0</v>
      </c>
      <c r="F75" s="85" t="str">
        <f t="shared" si="53"/>
        <v>0</v>
      </c>
      <c r="G75" s="85" t="str">
        <f t="shared" si="53"/>
        <v>0</v>
      </c>
      <c r="H75" s="85" t="str">
        <f t="shared" si="53"/>
        <v>0</v>
      </c>
    </row>
    <row r="76" ht="14.25" customHeight="1">
      <c r="A76" s="85" t="str">
        <f t="shared" si="44"/>
        <v>Wheat</v>
      </c>
      <c r="B76" s="85" t="str">
        <f t="shared" ref="B76:B83" si="55">H24*$B$65</f>
        <v>0</v>
      </c>
      <c r="C76" s="85" t="str">
        <f t="shared" ref="C76:H76" si="54">(B76/B$65)*C$65</f>
        <v>0</v>
      </c>
      <c r="D76" s="85" t="str">
        <f t="shared" si="54"/>
        <v>0</v>
      </c>
      <c r="E76" s="85" t="str">
        <f t="shared" si="54"/>
        <v>0</v>
      </c>
      <c r="F76" s="85" t="str">
        <f t="shared" si="54"/>
        <v>0</v>
      </c>
      <c r="G76" s="85" t="str">
        <f t="shared" si="54"/>
        <v>0</v>
      </c>
      <c r="H76" s="85" t="str">
        <f t="shared" si="54"/>
        <v>0</v>
      </c>
    </row>
    <row r="77" ht="14.25" customHeight="1">
      <c r="A77" s="85" t="str">
        <f t="shared" si="44"/>
        <v>Bengal Gram/Channa</v>
      </c>
      <c r="B77" s="85" t="str">
        <f t="shared" si="55"/>
        <v>1795.5</v>
      </c>
      <c r="C77" s="85" t="str">
        <f t="shared" ref="C77:H77" si="56">(B77/B$65)*C$65</f>
        <v>2094.75</v>
      </c>
      <c r="D77" s="85" t="str">
        <f t="shared" si="56"/>
        <v>2394</v>
      </c>
      <c r="E77" s="85" t="str">
        <f t="shared" si="56"/>
        <v>2693.25</v>
      </c>
      <c r="F77" s="85" t="str">
        <f t="shared" si="56"/>
        <v>2992.5</v>
      </c>
      <c r="G77" s="85" t="str">
        <f t="shared" si="56"/>
        <v>3291.75</v>
      </c>
      <c r="H77" s="85" t="str">
        <f t="shared" si="56"/>
        <v>3591</v>
      </c>
    </row>
    <row r="78" ht="14.25" customHeight="1">
      <c r="A78" s="85" t="str">
        <f t="shared" si="44"/>
        <v>Jawar</v>
      </c>
      <c r="B78" s="85" t="str">
        <f t="shared" si="55"/>
        <v>0</v>
      </c>
      <c r="C78" s="85" t="str">
        <f t="shared" ref="C78:H78" si="57">(B78/B$65)*C$65</f>
        <v>0</v>
      </c>
      <c r="D78" s="85" t="str">
        <f t="shared" si="57"/>
        <v>0</v>
      </c>
      <c r="E78" s="85" t="str">
        <f t="shared" si="57"/>
        <v>0</v>
      </c>
      <c r="F78" s="85" t="str">
        <f t="shared" si="57"/>
        <v>0</v>
      </c>
      <c r="G78" s="85" t="str">
        <f t="shared" si="57"/>
        <v>0</v>
      </c>
      <c r="H78" s="85" t="str">
        <f t="shared" si="57"/>
        <v>0</v>
      </c>
    </row>
    <row r="79" ht="14.25" customHeight="1">
      <c r="A79" s="85" t="str">
        <f t="shared" si="44"/>
        <v>Maize</v>
      </c>
      <c r="B79" s="85" t="str">
        <f t="shared" si="55"/>
        <v>0</v>
      </c>
      <c r="C79" s="85" t="str">
        <f t="shared" ref="C79:H79" si="58">(B79/B$65)*C$65</f>
        <v>0</v>
      </c>
      <c r="D79" s="85" t="str">
        <f t="shared" si="58"/>
        <v>0</v>
      </c>
      <c r="E79" s="85" t="str">
        <f t="shared" si="58"/>
        <v>0</v>
      </c>
      <c r="F79" s="85" t="str">
        <f t="shared" si="58"/>
        <v>0</v>
      </c>
      <c r="G79" s="85" t="str">
        <f t="shared" si="58"/>
        <v>0</v>
      </c>
      <c r="H79" s="85" t="str">
        <f t="shared" si="58"/>
        <v>0</v>
      </c>
    </row>
    <row r="80" ht="14.25" customHeight="1">
      <c r="A80" s="85" t="str">
        <f t="shared" si="44"/>
        <v>Safflower</v>
      </c>
      <c r="B80" s="85" t="str">
        <f t="shared" si="55"/>
        <v>0</v>
      </c>
      <c r="C80" s="85" t="str">
        <f t="shared" ref="C80:H80" si="59">(B80/B$65)*C$65</f>
        <v>0</v>
      </c>
      <c r="D80" s="85" t="str">
        <f t="shared" si="59"/>
        <v>0</v>
      </c>
      <c r="E80" s="85" t="str">
        <f t="shared" si="59"/>
        <v>0</v>
      </c>
      <c r="F80" s="85" t="str">
        <f t="shared" si="59"/>
        <v>0</v>
      </c>
      <c r="G80" s="85" t="str">
        <f t="shared" si="59"/>
        <v>0</v>
      </c>
      <c r="H80" s="85" t="str">
        <f t="shared" si="59"/>
        <v>0</v>
      </c>
    </row>
    <row r="81" ht="14.25" customHeight="1">
      <c r="A81" s="85" t="str">
        <f t="shared" si="44"/>
        <v/>
      </c>
      <c r="B81" s="85" t="str">
        <f t="shared" si="55"/>
        <v>0</v>
      </c>
      <c r="C81" s="85" t="str">
        <f t="shared" ref="C81:H81" si="60">(B81/B$65)*C$65</f>
        <v>0</v>
      </c>
      <c r="D81" s="85" t="str">
        <f t="shared" si="60"/>
        <v>0</v>
      </c>
      <c r="E81" s="85" t="str">
        <f t="shared" si="60"/>
        <v>0</v>
      </c>
      <c r="F81" s="85" t="str">
        <f t="shared" si="60"/>
        <v>0</v>
      </c>
      <c r="G81" s="85" t="str">
        <f t="shared" si="60"/>
        <v>0</v>
      </c>
      <c r="H81" s="85" t="str">
        <f t="shared" si="60"/>
        <v>0</v>
      </c>
    </row>
    <row r="82" ht="14.25" customHeight="1">
      <c r="A82" s="85" t="str">
        <f t="shared" si="44"/>
        <v/>
      </c>
      <c r="B82" s="85" t="str">
        <f t="shared" si="55"/>
        <v>0</v>
      </c>
      <c r="C82" s="85" t="str">
        <f t="shared" ref="C82:H82" si="61">(B82/B$65)*C$65</f>
        <v>0</v>
      </c>
      <c r="D82" s="85" t="str">
        <f t="shared" si="61"/>
        <v>0</v>
      </c>
      <c r="E82" s="85" t="str">
        <f t="shared" si="61"/>
        <v>0</v>
      </c>
      <c r="F82" s="85" t="str">
        <f t="shared" si="61"/>
        <v>0</v>
      </c>
      <c r="G82" s="85" t="str">
        <f t="shared" si="61"/>
        <v>0</v>
      </c>
      <c r="H82" s="85" t="str">
        <f t="shared" si="61"/>
        <v>0</v>
      </c>
    </row>
    <row r="83" ht="14.25" customHeight="1">
      <c r="A83" s="85" t="str">
        <f t="shared" si="44"/>
        <v/>
      </c>
      <c r="B83" s="85" t="str">
        <f t="shared" si="55"/>
        <v>0</v>
      </c>
      <c r="C83" s="85" t="str">
        <f t="shared" ref="C83:H83" si="62">(B83/B$65)*C$65</f>
        <v>0</v>
      </c>
      <c r="D83" s="85" t="str">
        <f t="shared" si="62"/>
        <v>0</v>
      </c>
      <c r="E83" s="85" t="str">
        <f t="shared" si="62"/>
        <v>0</v>
      </c>
      <c r="F83" s="85" t="str">
        <f t="shared" si="62"/>
        <v>0</v>
      </c>
      <c r="G83" s="85" t="str">
        <f t="shared" si="62"/>
        <v>0</v>
      </c>
      <c r="H83" s="85" t="str">
        <f t="shared" si="62"/>
        <v>0</v>
      </c>
    </row>
    <row r="84" ht="14.25" customHeight="1">
      <c r="A84" s="85" t="str">
        <f t="shared" si="44"/>
        <v>Groundnut</v>
      </c>
      <c r="B84" s="85" t="str">
        <f t="shared" ref="B84:B87" si="64">H33*$B$65</f>
        <v>0</v>
      </c>
      <c r="C84" s="85" t="str">
        <f t="shared" ref="C84:H84" si="63">(B84/B$65)*C$65</f>
        <v>0</v>
      </c>
      <c r="D84" s="85" t="str">
        <f t="shared" si="63"/>
        <v>0</v>
      </c>
      <c r="E84" s="85" t="str">
        <f t="shared" si="63"/>
        <v>0</v>
      </c>
      <c r="F84" s="85" t="str">
        <f t="shared" si="63"/>
        <v>0</v>
      </c>
      <c r="G84" s="85" t="str">
        <f t="shared" si="63"/>
        <v>0</v>
      </c>
      <c r="H84" s="85" t="str">
        <f t="shared" si="63"/>
        <v>0</v>
      </c>
    </row>
    <row r="85" ht="14.25" customHeight="1">
      <c r="A85" s="85" t="str">
        <f t="shared" si="44"/>
        <v/>
      </c>
      <c r="B85" s="85" t="str">
        <f t="shared" si="64"/>
        <v>0</v>
      </c>
      <c r="C85" s="85" t="str">
        <f t="shared" ref="C85:H85" si="65">(B85/B$65)*C$65</f>
        <v>0</v>
      </c>
      <c r="D85" s="85" t="str">
        <f t="shared" si="65"/>
        <v>0</v>
      </c>
      <c r="E85" s="85" t="str">
        <f t="shared" si="65"/>
        <v>0</v>
      </c>
      <c r="F85" s="85" t="str">
        <f t="shared" si="65"/>
        <v>0</v>
      </c>
      <c r="G85" s="85" t="str">
        <f t="shared" si="65"/>
        <v>0</v>
      </c>
      <c r="H85" s="85" t="str">
        <f t="shared" si="65"/>
        <v>0</v>
      </c>
    </row>
    <row r="86" ht="14.25" customHeight="1">
      <c r="A86" s="85" t="str">
        <f t="shared" si="44"/>
        <v/>
      </c>
      <c r="B86" s="85" t="str">
        <f t="shared" si="64"/>
        <v>0</v>
      </c>
      <c r="C86" s="85" t="str">
        <f t="shared" ref="C86:H86" si="66">(B86/B$65)*C$65</f>
        <v>0</v>
      </c>
      <c r="D86" s="85" t="str">
        <f t="shared" si="66"/>
        <v>0</v>
      </c>
      <c r="E86" s="85" t="str">
        <f t="shared" si="66"/>
        <v>0</v>
      </c>
      <c r="F86" s="85" t="str">
        <f t="shared" si="66"/>
        <v>0</v>
      </c>
      <c r="G86" s="85" t="str">
        <f t="shared" si="66"/>
        <v>0</v>
      </c>
      <c r="H86" s="85" t="str">
        <f t="shared" si="66"/>
        <v>0</v>
      </c>
    </row>
    <row r="87" ht="14.25" customHeight="1">
      <c r="A87" s="85" t="str">
        <f t="shared" si="44"/>
        <v/>
      </c>
      <c r="B87" s="85" t="str">
        <f t="shared" si="64"/>
        <v>0</v>
      </c>
      <c r="C87" s="85" t="str">
        <f t="shared" ref="C87:H87" si="67">(B87/B$65)*C$65</f>
        <v>0</v>
      </c>
      <c r="D87" s="85" t="str">
        <f t="shared" si="67"/>
        <v>0</v>
      </c>
      <c r="E87" s="85" t="str">
        <f t="shared" si="67"/>
        <v>0</v>
      </c>
      <c r="F87" s="85" t="str">
        <f t="shared" si="67"/>
        <v>0</v>
      </c>
      <c r="G87" s="85" t="str">
        <f t="shared" si="67"/>
        <v>0</v>
      </c>
      <c r="H87" s="85" t="str">
        <f t="shared" si="67"/>
        <v>0</v>
      </c>
    </row>
    <row r="88" ht="14.25" customHeight="1"/>
    <row r="89" ht="14.25" customHeight="1">
      <c r="A89" s="352" t="s">
        <v>596</v>
      </c>
      <c r="B89" s="5"/>
      <c r="C89" s="5"/>
      <c r="D89" s="5"/>
      <c r="E89" s="5"/>
      <c r="F89" s="5"/>
      <c r="G89" s="5"/>
      <c r="H89" s="6"/>
    </row>
    <row r="90" ht="14.25" customHeight="1">
      <c r="A90" s="353" t="s">
        <v>190</v>
      </c>
      <c r="B90" s="354">
        <v>0.65</v>
      </c>
      <c r="C90" s="355" t="str">
        <f t="shared" ref="C90:H90" si="68">B90+0.05</f>
        <v>70.0%</v>
      </c>
      <c r="D90" s="355" t="str">
        <f t="shared" si="68"/>
        <v>75.0%</v>
      </c>
      <c r="E90" s="355" t="str">
        <f t="shared" si="68"/>
        <v>80.0%</v>
      </c>
      <c r="F90" s="355" t="str">
        <f t="shared" si="68"/>
        <v>85.0%</v>
      </c>
      <c r="G90" s="355" t="str">
        <f t="shared" si="68"/>
        <v>90.0%</v>
      </c>
      <c r="H90" s="355" t="str">
        <f t="shared" si="68"/>
        <v>95.0%</v>
      </c>
    </row>
    <row r="91" ht="14.25" customHeight="1">
      <c r="A91" s="21"/>
      <c r="B91" s="328" t="s">
        <v>193</v>
      </c>
      <c r="C91" s="328" t="s">
        <v>194</v>
      </c>
      <c r="D91" s="328" t="s">
        <v>195</v>
      </c>
      <c r="E91" s="328" t="s">
        <v>196</v>
      </c>
      <c r="F91" s="328" t="s">
        <v>197</v>
      </c>
      <c r="G91" s="328" t="s">
        <v>198</v>
      </c>
      <c r="H91" s="328" t="s">
        <v>199</v>
      </c>
    </row>
    <row r="92" ht="14.25" customHeight="1">
      <c r="A92" s="85" t="str">
        <f t="shared" ref="A92:A112" si="70">A67</f>
        <v>Soybean</v>
      </c>
      <c r="B92" s="85" t="str">
        <f>D14*$B$90</f>
        <v>0</v>
      </c>
      <c r="C92" s="85" t="str">
        <f t="shared" ref="C92:H92" si="69">(B92/B$90)*C$90</f>
        <v>0</v>
      </c>
      <c r="D92" s="85" t="str">
        <f t="shared" si="69"/>
        <v>0</v>
      </c>
      <c r="E92" s="85" t="str">
        <f t="shared" si="69"/>
        <v>0</v>
      </c>
      <c r="F92" s="85" t="str">
        <f t="shared" si="69"/>
        <v>0</v>
      </c>
      <c r="G92" s="85" t="str">
        <f t="shared" si="69"/>
        <v>0</v>
      </c>
      <c r="H92" s="85" t="str">
        <f t="shared" si="69"/>
        <v>0</v>
      </c>
    </row>
    <row r="93" ht="14.25" customHeight="1">
      <c r="A93" s="85" t="str">
        <f t="shared" si="70"/>
        <v>Red Gram/Tur</v>
      </c>
      <c r="B93" s="85" t="str">
        <f>D15*$B$90*0</f>
        <v>0</v>
      </c>
      <c r="C93" s="85" t="str">
        <f t="shared" ref="C93:C113" si="72">(B93/B$90)*C$90</f>
        <v>0</v>
      </c>
      <c r="D93" s="85" t="str">
        <f t="shared" ref="D93:H93" si="71">(C93/C90)*D90</f>
        <v>0</v>
      </c>
      <c r="E93" s="85" t="str">
        <f t="shared" si="71"/>
        <v>0</v>
      </c>
      <c r="F93" s="85" t="str">
        <f t="shared" si="71"/>
        <v>0</v>
      </c>
      <c r="G93" s="85" t="str">
        <f t="shared" si="71"/>
        <v>0</v>
      </c>
      <c r="H93" s="85" t="str">
        <f t="shared" si="71"/>
        <v>0</v>
      </c>
    </row>
    <row r="94" ht="14.25" customHeight="1">
      <c r="A94" s="85" t="str">
        <f t="shared" si="70"/>
        <v>Paddy/Rice</v>
      </c>
      <c r="B94" s="85" t="str">
        <f>D16*$B$90</f>
        <v>0</v>
      </c>
      <c r="C94" s="85" t="str">
        <f t="shared" si="72"/>
        <v>0</v>
      </c>
      <c r="D94" s="85" t="str">
        <f t="shared" ref="D94:H94" si="73">(C94/C$90)*D$90</f>
        <v>0</v>
      </c>
      <c r="E94" s="85" t="str">
        <f t="shared" si="73"/>
        <v>0</v>
      </c>
      <c r="F94" s="85" t="str">
        <f t="shared" si="73"/>
        <v>0</v>
      </c>
      <c r="G94" s="85" t="str">
        <f t="shared" si="73"/>
        <v>0</v>
      </c>
      <c r="H94" s="85" t="str">
        <f t="shared" si="73"/>
        <v>0</v>
      </c>
    </row>
    <row r="95" ht="14.25" customHeight="1">
      <c r="A95" s="85" t="str">
        <f t="shared" si="70"/>
        <v>Green Gram/ Moong</v>
      </c>
      <c r="B95" s="85" t="str">
        <f>D17*$B$90*0</f>
        <v>0</v>
      </c>
      <c r="C95" s="85" t="str">
        <f t="shared" si="72"/>
        <v>0</v>
      </c>
      <c r="D95" s="85" t="str">
        <f t="shared" ref="D95:H95" si="74">(C95/C$90)*D$90</f>
        <v>0</v>
      </c>
      <c r="E95" s="85" t="str">
        <f t="shared" si="74"/>
        <v>0</v>
      </c>
      <c r="F95" s="85" t="str">
        <f t="shared" si="74"/>
        <v>0</v>
      </c>
      <c r="G95" s="85" t="str">
        <f t="shared" si="74"/>
        <v>0</v>
      </c>
      <c r="H95" s="85" t="str">
        <f t="shared" si="74"/>
        <v>0</v>
      </c>
    </row>
    <row r="96" ht="14.25" customHeight="1">
      <c r="A96" s="85" t="str">
        <f t="shared" si="70"/>
        <v>Maize</v>
      </c>
      <c r="B96" s="85" t="str">
        <f>D18*$B$90</f>
        <v>0</v>
      </c>
      <c r="C96" s="85" t="str">
        <f t="shared" si="72"/>
        <v>0</v>
      </c>
      <c r="D96" s="85" t="str">
        <f t="shared" ref="D96:H96" si="75">(C96/C$90)*D$90</f>
        <v>0</v>
      </c>
      <c r="E96" s="85" t="str">
        <f t="shared" si="75"/>
        <v>0</v>
      </c>
      <c r="F96" s="85" t="str">
        <f t="shared" si="75"/>
        <v>0</v>
      </c>
      <c r="G96" s="85" t="str">
        <f t="shared" si="75"/>
        <v>0</v>
      </c>
      <c r="H96" s="85" t="str">
        <f t="shared" si="75"/>
        <v>0</v>
      </c>
    </row>
    <row r="97" ht="14.25" customHeight="1">
      <c r="A97" s="85" t="str">
        <f t="shared" si="70"/>
        <v>Black Gram/Udid</v>
      </c>
      <c r="B97" s="85" t="str">
        <f>D19*$B$90*0</f>
        <v>0</v>
      </c>
      <c r="C97" s="85" t="str">
        <f t="shared" si="72"/>
        <v>0</v>
      </c>
      <c r="D97" s="85" t="str">
        <f t="shared" ref="D97:H97" si="76">(C97/C$90)*D$90</f>
        <v>0</v>
      </c>
      <c r="E97" s="85" t="str">
        <f t="shared" si="76"/>
        <v>0</v>
      </c>
      <c r="F97" s="85" t="str">
        <f t="shared" si="76"/>
        <v>0</v>
      </c>
      <c r="G97" s="85" t="str">
        <f t="shared" si="76"/>
        <v>0</v>
      </c>
      <c r="H97" s="85" t="str">
        <f t="shared" si="76"/>
        <v>0</v>
      </c>
    </row>
    <row r="98" ht="14.25" customHeight="1">
      <c r="A98" s="85" t="str">
        <f t="shared" si="70"/>
        <v>Bajra</v>
      </c>
      <c r="B98" s="85" t="str">
        <f t="shared" ref="B98:B100" si="78">D20*$B$90</f>
        <v>0</v>
      </c>
      <c r="C98" s="85" t="str">
        <f t="shared" si="72"/>
        <v>0</v>
      </c>
      <c r="D98" s="85" t="str">
        <f t="shared" ref="D98:H98" si="77">(C98/C$90)*D$90</f>
        <v>0</v>
      </c>
      <c r="E98" s="85" t="str">
        <f t="shared" si="77"/>
        <v>0</v>
      </c>
      <c r="F98" s="85" t="str">
        <f t="shared" si="77"/>
        <v>0</v>
      </c>
      <c r="G98" s="85" t="str">
        <f t="shared" si="77"/>
        <v>0</v>
      </c>
      <c r="H98" s="85" t="str">
        <f t="shared" si="77"/>
        <v>0</v>
      </c>
    </row>
    <row r="99" ht="14.25" customHeight="1">
      <c r="A99" s="85" t="str">
        <f t="shared" si="70"/>
        <v>Jawar</v>
      </c>
      <c r="B99" s="85" t="str">
        <f t="shared" si="78"/>
        <v>0</v>
      </c>
      <c r="C99" s="85" t="str">
        <f t="shared" si="72"/>
        <v>0</v>
      </c>
      <c r="D99" s="85" t="str">
        <f t="shared" ref="D99:H99" si="79">(C99/C$90)*D$90</f>
        <v>0</v>
      </c>
      <c r="E99" s="85" t="str">
        <f t="shared" si="79"/>
        <v>0</v>
      </c>
      <c r="F99" s="85" t="str">
        <f t="shared" si="79"/>
        <v>0</v>
      </c>
      <c r="G99" s="85" t="str">
        <f t="shared" si="79"/>
        <v>0</v>
      </c>
      <c r="H99" s="85" t="str">
        <f t="shared" si="79"/>
        <v>0</v>
      </c>
    </row>
    <row r="100" ht="14.25" customHeight="1">
      <c r="A100" s="85" t="str">
        <f t="shared" si="70"/>
        <v>Sunflower</v>
      </c>
      <c r="B100" s="85" t="str">
        <f t="shared" si="78"/>
        <v>0</v>
      </c>
      <c r="C100" s="85" t="str">
        <f t="shared" si="72"/>
        <v>0</v>
      </c>
      <c r="D100" s="85" t="str">
        <f t="shared" ref="D100:H100" si="80">(C100/C$90)*D$90</f>
        <v>0</v>
      </c>
      <c r="E100" s="85" t="str">
        <f t="shared" si="80"/>
        <v>0</v>
      </c>
      <c r="F100" s="85" t="str">
        <f t="shared" si="80"/>
        <v>0</v>
      </c>
      <c r="G100" s="85" t="str">
        <f t="shared" si="80"/>
        <v>0</v>
      </c>
      <c r="H100" s="85" t="str">
        <f t="shared" si="80"/>
        <v>0</v>
      </c>
    </row>
    <row r="101" ht="14.25" customHeight="1">
      <c r="A101" s="85" t="str">
        <f t="shared" si="70"/>
        <v>Wheat</v>
      </c>
      <c r="B101" s="85" t="str">
        <f>D24*$B$90</f>
        <v>0</v>
      </c>
      <c r="C101" s="85" t="str">
        <f t="shared" si="72"/>
        <v>0</v>
      </c>
      <c r="D101" s="85" t="str">
        <f t="shared" ref="D101:H101" si="81">(C101/C$90)*D$90</f>
        <v>0</v>
      </c>
      <c r="E101" s="85" t="str">
        <f t="shared" si="81"/>
        <v>0</v>
      </c>
      <c r="F101" s="85" t="str">
        <f t="shared" si="81"/>
        <v>0</v>
      </c>
      <c r="G101" s="85" t="str">
        <f t="shared" si="81"/>
        <v>0</v>
      </c>
      <c r="H101" s="85" t="str">
        <f t="shared" si="81"/>
        <v>0</v>
      </c>
    </row>
    <row r="102" ht="14.25" customHeight="1">
      <c r="A102" s="85" t="str">
        <f t="shared" si="70"/>
        <v>Bengal Gram/Channa</v>
      </c>
      <c r="B102" s="85" t="str">
        <f>D25*$B$90*0</f>
        <v>0</v>
      </c>
      <c r="C102" s="85" t="str">
        <f t="shared" si="72"/>
        <v>0</v>
      </c>
      <c r="D102" s="85" t="str">
        <f t="shared" ref="D102:H102" si="82">(C102/C$90)*D$90</f>
        <v>0</v>
      </c>
      <c r="E102" s="85" t="str">
        <f t="shared" si="82"/>
        <v>0</v>
      </c>
      <c r="F102" s="85" t="str">
        <f t="shared" si="82"/>
        <v>0</v>
      </c>
      <c r="G102" s="85" t="str">
        <f t="shared" si="82"/>
        <v>0</v>
      </c>
      <c r="H102" s="85" t="str">
        <f t="shared" si="82"/>
        <v>0</v>
      </c>
    </row>
    <row r="103" ht="14.25" customHeight="1">
      <c r="A103" s="85" t="str">
        <f t="shared" si="70"/>
        <v>Jawar</v>
      </c>
      <c r="B103" s="85" t="str">
        <f t="shared" ref="B103:B108" si="84">D26*$B$90</f>
        <v>0</v>
      </c>
      <c r="C103" s="85" t="str">
        <f t="shared" si="72"/>
        <v>0</v>
      </c>
      <c r="D103" s="85" t="str">
        <f t="shared" ref="D103:H103" si="83">(C103/C$90)*D$90</f>
        <v>0</v>
      </c>
      <c r="E103" s="85" t="str">
        <f t="shared" si="83"/>
        <v>0</v>
      </c>
      <c r="F103" s="85" t="str">
        <f t="shared" si="83"/>
        <v>0</v>
      </c>
      <c r="G103" s="85" t="str">
        <f t="shared" si="83"/>
        <v>0</v>
      </c>
      <c r="H103" s="85" t="str">
        <f t="shared" si="83"/>
        <v>0</v>
      </c>
    </row>
    <row r="104" ht="14.25" customHeight="1">
      <c r="A104" s="85" t="str">
        <f t="shared" si="70"/>
        <v>Maize</v>
      </c>
      <c r="B104" s="85" t="str">
        <f t="shared" si="84"/>
        <v>0</v>
      </c>
      <c r="C104" s="85" t="str">
        <f t="shared" si="72"/>
        <v>0</v>
      </c>
      <c r="D104" s="85" t="str">
        <f t="shared" ref="D104:H104" si="85">(C104/C$90)*D$90</f>
        <v>0</v>
      </c>
      <c r="E104" s="85" t="str">
        <f t="shared" si="85"/>
        <v>0</v>
      </c>
      <c r="F104" s="85" t="str">
        <f t="shared" si="85"/>
        <v>0</v>
      </c>
      <c r="G104" s="85" t="str">
        <f t="shared" si="85"/>
        <v>0</v>
      </c>
      <c r="H104" s="85" t="str">
        <f t="shared" si="85"/>
        <v>0</v>
      </c>
    </row>
    <row r="105" ht="14.25" customHeight="1">
      <c r="A105" s="85" t="str">
        <f t="shared" si="70"/>
        <v>Safflower</v>
      </c>
      <c r="B105" s="85" t="str">
        <f t="shared" si="84"/>
        <v>0</v>
      </c>
      <c r="C105" s="85" t="str">
        <f t="shared" si="72"/>
        <v>0</v>
      </c>
      <c r="D105" s="85" t="str">
        <f t="shared" ref="D105:H105" si="86">(C105/C$90)*D$90</f>
        <v>0</v>
      </c>
      <c r="E105" s="85" t="str">
        <f t="shared" si="86"/>
        <v>0</v>
      </c>
      <c r="F105" s="85" t="str">
        <f t="shared" si="86"/>
        <v>0</v>
      </c>
      <c r="G105" s="85" t="str">
        <f t="shared" si="86"/>
        <v>0</v>
      </c>
      <c r="H105" s="85" t="str">
        <f t="shared" si="86"/>
        <v>0</v>
      </c>
    </row>
    <row r="106" ht="14.25" customHeight="1">
      <c r="A106" s="85" t="str">
        <f t="shared" si="70"/>
        <v/>
      </c>
      <c r="B106" s="85" t="str">
        <f t="shared" si="84"/>
        <v>0</v>
      </c>
      <c r="C106" s="85" t="str">
        <f t="shared" si="72"/>
        <v>0</v>
      </c>
      <c r="D106" s="85" t="str">
        <f t="shared" ref="D106:H106" si="87">(C106/C$90)*D$90</f>
        <v>0</v>
      </c>
      <c r="E106" s="85" t="str">
        <f t="shared" si="87"/>
        <v>0</v>
      </c>
      <c r="F106" s="85" t="str">
        <f t="shared" si="87"/>
        <v>0</v>
      </c>
      <c r="G106" s="85" t="str">
        <f t="shared" si="87"/>
        <v>0</v>
      </c>
      <c r="H106" s="85" t="str">
        <f t="shared" si="87"/>
        <v>0</v>
      </c>
    </row>
    <row r="107" ht="14.25" customHeight="1">
      <c r="A107" s="85" t="str">
        <f t="shared" si="70"/>
        <v/>
      </c>
      <c r="B107" s="85" t="str">
        <f t="shared" si="84"/>
        <v>0</v>
      </c>
      <c r="C107" s="85" t="str">
        <f t="shared" si="72"/>
        <v>0</v>
      </c>
      <c r="D107" s="85" t="str">
        <f t="shared" ref="D107:H107" si="88">(C107/C$90)*D$90</f>
        <v>0</v>
      </c>
      <c r="E107" s="85" t="str">
        <f t="shared" si="88"/>
        <v>0</v>
      </c>
      <c r="F107" s="85" t="str">
        <f t="shared" si="88"/>
        <v>0</v>
      </c>
      <c r="G107" s="85" t="str">
        <f t="shared" si="88"/>
        <v>0</v>
      </c>
      <c r="H107" s="85" t="str">
        <f t="shared" si="88"/>
        <v>0</v>
      </c>
    </row>
    <row r="108" ht="14.25" customHeight="1">
      <c r="A108" s="85" t="str">
        <f t="shared" si="70"/>
        <v/>
      </c>
      <c r="B108" s="85" t="str">
        <f t="shared" si="84"/>
        <v>0</v>
      </c>
      <c r="C108" s="85" t="str">
        <f t="shared" si="72"/>
        <v>0</v>
      </c>
      <c r="D108" s="85" t="str">
        <f t="shared" ref="D108:H108" si="89">(C108/C$90)*D$90</f>
        <v>0</v>
      </c>
      <c r="E108" s="85" t="str">
        <f t="shared" si="89"/>
        <v>0</v>
      </c>
      <c r="F108" s="85" t="str">
        <f t="shared" si="89"/>
        <v>0</v>
      </c>
      <c r="G108" s="85" t="str">
        <f t="shared" si="89"/>
        <v>0</v>
      </c>
      <c r="H108" s="85" t="str">
        <f t="shared" si="89"/>
        <v>0</v>
      </c>
    </row>
    <row r="109" ht="14.25" customHeight="1">
      <c r="A109" s="85" t="str">
        <f t="shared" si="70"/>
        <v>Groundnut</v>
      </c>
      <c r="B109" s="85" t="str">
        <f t="shared" ref="B109:B110" si="91">D33*$B$90</f>
        <v>0</v>
      </c>
      <c r="C109" s="85" t="str">
        <f t="shared" si="72"/>
        <v>0</v>
      </c>
      <c r="D109" s="85" t="str">
        <f t="shared" ref="D109:H109" si="90">(C109/C$90)*D$90</f>
        <v>0</v>
      </c>
      <c r="E109" s="85" t="str">
        <f t="shared" si="90"/>
        <v>0</v>
      </c>
      <c r="F109" s="85" t="str">
        <f t="shared" si="90"/>
        <v>0</v>
      </c>
      <c r="G109" s="85" t="str">
        <f t="shared" si="90"/>
        <v>0</v>
      </c>
      <c r="H109" s="85" t="str">
        <f t="shared" si="90"/>
        <v>0</v>
      </c>
    </row>
    <row r="110" ht="14.25" customHeight="1">
      <c r="A110" s="85" t="str">
        <f t="shared" si="70"/>
        <v/>
      </c>
      <c r="B110" s="85" t="str">
        <f t="shared" si="91"/>
        <v>0</v>
      </c>
      <c r="C110" s="85" t="str">
        <f t="shared" si="72"/>
        <v>0</v>
      </c>
      <c r="D110" s="85" t="str">
        <f t="shared" ref="D110:H110" si="92">(C110/C$90)*D$90</f>
        <v>0</v>
      </c>
      <c r="E110" s="85" t="str">
        <f t="shared" si="92"/>
        <v>0</v>
      </c>
      <c r="F110" s="85" t="str">
        <f t="shared" si="92"/>
        <v>0</v>
      </c>
      <c r="G110" s="85" t="str">
        <f t="shared" si="92"/>
        <v>0</v>
      </c>
      <c r="H110" s="85" t="str">
        <f t="shared" si="92"/>
        <v>0</v>
      </c>
    </row>
    <row r="111" ht="14.25" customHeight="1">
      <c r="A111" s="85" t="str">
        <f t="shared" si="70"/>
        <v/>
      </c>
      <c r="B111" s="85" t="str">
        <f>D34*$B$90</f>
        <v>0</v>
      </c>
      <c r="C111" s="85" t="str">
        <f t="shared" si="72"/>
        <v>0</v>
      </c>
      <c r="D111" s="85" t="str">
        <f t="shared" ref="D111:H111" si="93">(C111/C$90)*D$90</f>
        <v>0</v>
      </c>
      <c r="E111" s="85" t="str">
        <f t="shared" si="93"/>
        <v>0</v>
      </c>
      <c r="F111" s="85" t="str">
        <f t="shared" si="93"/>
        <v>0</v>
      </c>
      <c r="G111" s="85" t="str">
        <f t="shared" si="93"/>
        <v>0</v>
      </c>
      <c r="H111" s="85" t="str">
        <f t="shared" si="93"/>
        <v>0</v>
      </c>
    </row>
    <row r="112" ht="14.25" customHeight="1">
      <c r="A112" s="85" t="str">
        <f t="shared" si="70"/>
        <v/>
      </c>
      <c r="B112" s="85" t="str">
        <f t="shared" ref="B112:B113" si="95">D36*$B$90</f>
        <v>0</v>
      </c>
      <c r="C112" s="85" t="str">
        <f t="shared" si="72"/>
        <v>0</v>
      </c>
      <c r="D112" s="85" t="str">
        <f t="shared" ref="D112:H112" si="94">(C112/C$90)*D$90</f>
        <v>0</v>
      </c>
      <c r="E112" s="85" t="str">
        <f t="shared" si="94"/>
        <v>0</v>
      </c>
      <c r="F112" s="85" t="str">
        <f t="shared" si="94"/>
        <v>0</v>
      </c>
      <c r="G112" s="85" t="str">
        <f t="shared" si="94"/>
        <v>0</v>
      </c>
      <c r="H112" s="85" t="str">
        <f t="shared" si="94"/>
        <v>0</v>
      </c>
    </row>
    <row r="113" ht="14.25" customHeight="1">
      <c r="A113" s="85"/>
      <c r="B113" s="85" t="str">
        <f t="shared" si="95"/>
        <v>0</v>
      </c>
      <c r="C113" s="85" t="str">
        <f t="shared" si="72"/>
        <v>0</v>
      </c>
      <c r="D113" s="85" t="str">
        <f t="shared" ref="D113:H113" si="96">(C113/C$90)*D$90</f>
        <v>0</v>
      </c>
      <c r="E113" s="85" t="str">
        <f t="shared" si="96"/>
        <v>0</v>
      </c>
      <c r="F113" s="85" t="str">
        <f t="shared" si="96"/>
        <v>0</v>
      </c>
      <c r="G113" s="85" t="str">
        <f t="shared" si="96"/>
        <v>0</v>
      </c>
      <c r="H113" s="85" t="str">
        <f t="shared" si="96"/>
        <v>0</v>
      </c>
    </row>
    <row r="114" ht="14.25" customHeight="1"/>
    <row r="115" ht="14.25" customHeight="1">
      <c r="C115" s="228"/>
      <c r="D115" s="286"/>
      <c r="E115" s="286"/>
      <c r="F115" s="286"/>
      <c r="G115" s="286"/>
      <c r="H115" s="286"/>
      <c r="I115" s="286"/>
    </row>
    <row r="116" ht="14.25" customHeight="1">
      <c r="A116" t="s">
        <v>597</v>
      </c>
      <c r="C116" s="71"/>
      <c r="D116" s="71"/>
      <c r="E116" s="71"/>
      <c r="F116" s="71"/>
      <c r="G116" s="71"/>
      <c r="H116" s="71"/>
      <c r="I116" s="71"/>
    </row>
    <row r="117" ht="14.25" customHeight="1">
      <c r="A117">
        <v>1.0</v>
      </c>
      <c r="B117" t="s">
        <v>598</v>
      </c>
    </row>
    <row r="118" ht="14.25" customHeight="1">
      <c r="A118">
        <v>2.0</v>
      </c>
      <c r="B118" t="s">
        <v>599</v>
      </c>
    </row>
    <row r="119" ht="14.25" customHeight="1">
      <c r="A119">
        <v>3.0</v>
      </c>
      <c r="B119" t="s">
        <v>600</v>
      </c>
    </row>
  </sheetData>
  <mergeCells count="12">
    <mergeCell ref="A40:A41"/>
    <mergeCell ref="A64:H64"/>
    <mergeCell ref="A90:A91"/>
    <mergeCell ref="A89:H89"/>
    <mergeCell ref="A1:H1"/>
    <mergeCell ref="A3:B3"/>
    <mergeCell ref="A11:H11"/>
    <mergeCell ref="A37:H37"/>
    <mergeCell ref="A14:A22"/>
    <mergeCell ref="A39:H39"/>
    <mergeCell ref="A65:A66"/>
    <mergeCell ref="A24:A31"/>
  </mergeCells>
  <printOptions/>
  <pageMargins bottom="0.75" footer="0.0" header="0.0" left="0.7" right="0.7" top="0.75"/>
  <pageSetup scale="93" orientation="portrait"/>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4.29"/>
    <col customWidth="1" min="2" max="2" width="23.29"/>
    <col customWidth="1" min="3" max="3" width="11.57"/>
    <col customWidth="1" min="4" max="4" width="18.86"/>
    <col customWidth="1" min="5" max="5" width="15.14"/>
    <col customWidth="1" min="6" max="7" width="15.86"/>
    <col customWidth="1" min="8" max="8" width="21.29"/>
    <col customWidth="1" min="9" max="9" width="11.43"/>
    <col customWidth="1" min="10" max="10" width="9.14"/>
    <col customWidth="1" min="11" max="26" width="8.71"/>
  </cols>
  <sheetData>
    <row r="1" ht="14.25" customHeight="1">
      <c r="A1" s="25" t="s">
        <v>601</v>
      </c>
    </row>
    <row r="2" ht="14.25" customHeight="1">
      <c r="B2" s="228"/>
    </row>
    <row r="3" ht="14.25" customHeight="1">
      <c r="A3" s="327" t="s">
        <v>602</v>
      </c>
      <c r="B3" s="3"/>
    </row>
    <row r="4" ht="14.25" customHeight="1">
      <c r="A4" s="164" t="s">
        <v>190</v>
      </c>
      <c r="B4" s="328" t="s">
        <v>201</v>
      </c>
      <c r="C4" s="329"/>
      <c r="D4" s="329"/>
      <c r="E4" s="329"/>
      <c r="F4" s="329"/>
      <c r="G4" s="329"/>
      <c r="H4" s="329"/>
    </row>
    <row r="5" ht="14.25" customHeight="1">
      <c r="A5" s="85" t="s">
        <v>603</v>
      </c>
      <c r="B5" s="330"/>
      <c r="D5" s="331"/>
      <c r="E5" s="331"/>
      <c r="F5" s="331"/>
      <c r="G5" s="331"/>
      <c r="H5" s="331"/>
    </row>
    <row r="6" ht="14.25" customHeight="1">
      <c r="A6" s="85" t="s">
        <v>604</v>
      </c>
      <c r="B6" s="330"/>
      <c r="D6" s="331"/>
      <c r="E6" s="331"/>
      <c r="F6" s="331"/>
      <c r="G6" s="331"/>
      <c r="H6" s="331"/>
    </row>
    <row r="7" ht="14.25" customHeight="1">
      <c r="A7" s="332" t="s">
        <v>88</v>
      </c>
      <c r="B7" s="332" t="str">
        <f>B5+B6</f>
        <v>0</v>
      </c>
      <c r="C7" s="119"/>
      <c r="D7" s="333"/>
      <c r="E7" s="333"/>
      <c r="F7" s="333"/>
      <c r="G7" s="333"/>
      <c r="H7" s="333"/>
    </row>
    <row r="8" ht="14.25" customHeight="1">
      <c r="A8" s="332" t="s">
        <v>605</v>
      </c>
      <c r="B8" s="334">
        <v>1.0</v>
      </c>
      <c r="C8" s="119"/>
      <c r="D8" s="119"/>
      <c r="E8" s="119"/>
      <c r="F8" s="119"/>
      <c r="G8" s="119"/>
      <c r="H8" s="119"/>
    </row>
    <row r="9" ht="14.25" customHeight="1">
      <c r="A9" s="332" t="s">
        <v>606</v>
      </c>
      <c r="B9" s="332" t="str">
        <f>B7*B8</f>
        <v>0</v>
      </c>
      <c r="C9" s="333"/>
      <c r="D9" s="333"/>
      <c r="E9" s="333"/>
      <c r="F9" s="333"/>
      <c r="G9" s="333"/>
      <c r="H9" s="333"/>
    </row>
    <row r="10" ht="14.25" customHeight="1">
      <c r="J10" t="s">
        <v>563</v>
      </c>
      <c r="O10" t="s">
        <v>378</v>
      </c>
      <c r="U10" t="s">
        <v>16</v>
      </c>
      <c r="Y10" t="s">
        <v>564</v>
      </c>
      <c r="Z10" t="s">
        <v>565</v>
      </c>
    </row>
    <row r="11" ht="14.25" customHeight="1">
      <c r="A11" s="25" t="s">
        <v>607</v>
      </c>
      <c r="I11" s="119"/>
      <c r="J11" s="119"/>
      <c r="K11" s="119"/>
      <c r="L11" s="119"/>
      <c r="M11" s="119"/>
      <c r="N11" s="119"/>
      <c r="O11" s="119"/>
      <c r="P11" s="119"/>
    </row>
    <row r="12" ht="14.25" customHeight="1">
      <c r="J12" s="228">
        <v>0.65</v>
      </c>
      <c r="K12" s="335" t="str">
        <f t="shared" ref="K12:N12" si="1">J12+0.05</f>
        <v>70.0%</v>
      </c>
      <c r="L12" s="335" t="str">
        <f t="shared" si="1"/>
        <v>75.0%</v>
      </c>
      <c r="M12" s="335" t="str">
        <f t="shared" si="1"/>
        <v>80.0%</v>
      </c>
      <c r="N12" s="335" t="str">
        <f t="shared" si="1"/>
        <v>85.0%</v>
      </c>
      <c r="O12" s="228">
        <v>0.4</v>
      </c>
      <c r="P12" s="228" t="str">
        <f t="shared" ref="P12:T12" si="2">O12+0.05</f>
        <v>45%</v>
      </c>
      <c r="Q12" s="228" t="str">
        <f t="shared" si="2"/>
        <v>50%</v>
      </c>
      <c r="R12" s="228" t="str">
        <f t="shared" si="2"/>
        <v>55%</v>
      </c>
      <c r="S12" s="228" t="str">
        <f t="shared" si="2"/>
        <v>60%</v>
      </c>
      <c r="T12" s="228" t="str">
        <f t="shared" si="2"/>
        <v>65%</v>
      </c>
      <c r="U12" s="228">
        <v>0.1</v>
      </c>
      <c r="V12" s="286" t="str">
        <f t="shared" ref="V12:X12" si="3">U12+0.05</f>
        <v>15.00%</v>
      </c>
      <c r="W12" s="286" t="str">
        <f t="shared" si="3"/>
        <v>20.00%</v>
      </c>
      <c r="X12" s="286" t="str">
        <f t="shared" si="3"/>
        <v>25.00%</v>
      </c>
    </row>
    <row r="13" ht="14.25" customHeight="1">
      <c r="A13" s="164" t="s">
        <v>567</v>
      </c>
      <c r="B13" s="164" t="s">
        <v>568</v>
      </c>
      <c r="C13" s="336" t="s">
        <v>569</v>
      </c>
      <c r="D13" s="336" t="s">
        <v>570</v>
      </c>
      <c r="E13" s="336" t="s">
        <v>571</v>
      </c>
      <c r="F13" s="336" t="s">
        <v>572</v>
      </c>
      <c r="G13" s="336" t="s">
        <v>573</v>
      </c>
      <c r="H13" s="336" t="s">
        <v>574</v>
      </c>
      <c r="O13" s="337" t="s">
        <v>193</v>
      </c>
      <c r="P13" s="337" t="s">
        <v>194</v>
      </c>
      <c r="Q13" s="337" t="s">
        <v>195</v>
      </c>
      <c r="R13" s="337" t="s">
        <v>196</v>
      </c>
      <c r="S13" s="337" t="s">
        <v>197</v>
      </c>
      <c r="T13" s="337" t="s">
        <v>193</v>
      </c>
      <c r="U13" s="337" t="s">
        <v>194</v>
      </c>
      <c r="V13" s="337" t="s">
        <v>195</v>
      </c>
      <c r="W13" s="337" t="s">
        <v>196</v>
      </c>
      <c r="X13" s="337" t="s">
        <v>197</v>
      </c>
    </row>
    <row r="14" ht="14.25" customHeight="1">
      <c r="A14" s="338" t="s">
        <v>575</v>
      </c>
      <c r="B14" s="330" t="s">
        <v>608</v>
      </c>
      <c r="C14" s="339">
        <v>0.0</v>
      </c>
      <c r="D14" s="85" t="str">
        <f t="shared" ref="D14:D22" si="5">$B$9*C14</f>
        <v>0</v>
      </c>
      <c r="E14" s="340">
        <v>15.0</v>
      </c>
      <c r="F14" s="85" t="str">
        <f t="shared" ref="F14:F22" si="6">D14*E14</f>
        <v>0</v>
      </c>
      <c r="G14" s="341">
        <v>0.1</v>
      </c>
      <c r="H14" s="85" t="str">
        <f t="shared" ref="H14:H22" si="7">(F14-F14*G14)</f>
        <v>0</v>
      </c>
      <c r="J14" t="str">
        <f t="shared" ref="J14:N14" si="4">$D$14*J12</f>
        <v>0</v>
      </c>
      <c r="K14" t="str">
        <f t="shared" si="4"/>
        <v>0</v>
      </c>
      <c r="L14" t="str">
        <f t="shared" si="4"/>
        <v>0</v>
      </c>
      <c r="M14" t="str">
        <f t="shared" si="4"/>
        <v>0</v>
      </c>
      <c r="N14" t="str">
        <f t="shared" si="4"/>
        <v>0</v>
      </c>
    </row>
    <row r="15" ht="14.25" customHeight="1">
      <c r="A15" s="20"/>
      <c r="B15" s="330" t="s">
        <v>609</v>
      </c>
      <c r="C15" s="339">
        <v>0.1</v>
      </c>
      <c r="D15" s="85" t="str">
        <f t="shared" si="5"/>
        <v>0</v>
      </c>
      <c r="E15" s="340">
        <v>7.0</v>
      </c>
      <c r="F15" s="85" t="str">
        <f t="shared" si="6"/>
        <v>0</v>
      </c>
      <c r="G15" s="341">
        <v>0.05</v>
      </c>
      <c r="H15" s="85" t="str">
        <f t="shared" si="7"/>
        <v>0</v>
      </c>
    </row>
    <row r="16" ht="14.25" customHeight="1">
      <c r="A16" s="20"/>
      <c r="B16" s="330" t="s">
        <v>610</v>
      </c>
      <c r="C16" s="339">
        <v>0.0</v>
      </c>
      <c r="D16" s="85" t="str">
        <f t="shared" si="5"/>
        <v>0</v>
      </c>
      <c r="E16" s="340">
        <v>4.0</v>
      </c>
      <c r="F16" s="85" t="str">
        <f t="shared" si="6"/>
        <v>0</v>
      </c>
      <c r="G16" s="341">
        <v>0.0</v>
      </c>
      <c r="H16" s="85" t="str">
        <f t="shared" si="7"/>
        <v>0</v>
      </c>
    </row>
    <row r="17" ht="14.25" customHeight="1">
      <c r="A17" s="20"/>
      <c r="B17" s="330" t="s">
        <v>611</v>
      </c>
      <c r="C17" s="339">
        <v>0.05</v>
      </c>
      <c r="D17" s="85" t="str">
        <f t="shared" si="5"/>
        <v>0</v>
      </c>
      <c r="E17" s="340">
        <v>7.0</v>
      </c>
      <c r="F17" s="85" t="str">
        <f t="shared" si="6"/>
        <v>0</v>
      </c>
      <c r="G17" s="341">
        <v>0.02</v>
      </c>
      <c r="H17" s="85" t="str">
        <f t="shared" si="7"/>
        <v>0</v>
      </c>
    </row>
    <row r="18" ht="14.25" customHeight="1">
      <c r="A18" s="20"/>
      <c r="B18" s="330" t="s">
        <v>612</v>
      </c>
      <c r="C18" s="339">
        <v>0.0</v>
      </c>
      <c r="D18" s="85" t="str">
        <f t="shared" si="5"/>
        <v>0</v>
      </c>
      <c r="E18" s="340">
        <v>20.0</v>
      </c>
      <c r="F18" s="85" t="str">
        <f t="shared" si="6"/>
        <v>0</v>
      </c>
      <c r="G18" s="341">
        <v>0.0</v>
      </c>
      <c r="H18" s="85" t="str">
        <f t="shared" si="7"/>
        <v>0</v>
      </c>
    </row>
    <row r="19" ht="14.25" customHeight="1">
      <c r="A19" s="20"/>
      <c r="B19" s="330"/>
      <c r="C19" s="339">
        <v>0.0</v>
      </c>
      <c r="D19" s="85" t="str">
        <f t="shared" si="5"/>
        <v>0</v>
      </c>
      <c r="E19" s="340">
        <v>7.0</v>
      </c>
      <c r="F19" s="85" t="str">
        <f t="shared" si="6"/>
        <v>0</v>
      </c>
      <c r="G19" s="341">
        <v>0.1</v>
      </c>
      <c r="H19" s="85" t="str">
        <f t="shared" si="7"/>
        <v>0</v>
      </c>
    </row>
    <row r="20" ht="14.25" customHeight="1">
      <c r="A20" s="20"/>
      <c r="B20" s="330"/>
      <c r="C20" s="339">
        <v>0.0</v>
      </c>
      <c r="D20" s="85" t="str">
        <f t="shared" si="5"/>
        <v>0</v>
      </c>
      <c r="E20" s="340">
        <v>6.0</v>
      </c>
      <c r="F20" s="85" t="str">
        <f t="shared" si="6"/>
        <v>0</v>
      </c>
      <c r="G20" s="341">
        <v>0.02</v>
      </c>
      <c r="H20" s="85" t="str">
        <f t="shared" si="7"/>
        <v>0</v>
      </c>
    </row>
    <row r="21" ht="14.25" customHeight="1">
      <c r="A21" s="20"/>
      <c r="B21" s="330"/>
      <c r="C21" s="339">
        <v>0.0</v>
      </c>
      <c r="D21" s="85" t="str">
        <f t="shared" si="5"/>
        <v>0</v>
      </c>
      <c r="E21" s="340"/>
      <c r="F21" s="85" t="str">
        <f t="shared" si="6"/>
        <v>0</v>
      </c>
      <c r="G21" s="341">
        <v>0.0</v>
      </c>
      <c r="H21" s="85" t="str">
        <f t="shared" si="7"/>
        <v>0</v>
      </c>
    </row>
    <row r="22" ht="14.25" customHeight="1">
      <c r="A22" s="21"/>
      <c r="B22" s="330"/>
      <c r="C22" s="339">
        <v>0.0</v>
      </c>
      <c r="D22" s="85" t="str">
        <f t="shared" si="5"/>
        <v>0</v>
      </c>
      <c r="E22" s="340"/>
      <c r="F22" s="85" t="str">
        <f t="shared" si="6"/>
        <v>0</v>
      </c>
      <c r="G22" s="341">
        <v>0.0</v>
      </c>
      <c r="H22" s="85" t="str">
        <f t="shared" si="7"/>
        <v>0</v>
      </c>
    </row>
    <row r="23" ht="14.25" customHeight="1">
      <c r="A23" s="356" t="s">
        <v>613</v>
      </c>
      <c r="B23" s="339">
        <v>0.0</v>
      </c>
      <c r="C23" s="330" t="str">
        <f>B9*B23</f>
        <v>0</v>
      </c>
      <c r="D23" s="85"/>
      <c r="E23" s="340"/>
      <c r="F23" s="85"/>
      <c r="G23" s="341"/>
      <c r="H23" s="85"/>
    </row>
    <row r="24" ht="14.25" customHeight="1">
      <c r="A24" s="338" t="s">
        <v>586</v>
      </c>
      <c r="B24" s="330" t="s">
        <v>608</v>
      </c>
      <c r="C24" s="339">
        <v>0.0</v>
      </c>
      <c r="D24" s="85" t="str">
        <f t="shared" ref="D24:D31" si="8">C$23*C24</f>
        <v>0</v>
      </c>
      <c r="E24" s="340">
        <v>10.0</v>
      </c>
      <c r="F24" s="85" t="str">
        <f t="shared" ref="F24:F31" si="9">D24*E24</f>
        <v>0</v>
      </c>
      <c r="G24" s="341">
        <v>0.1</v>
      </c>
      <c r="H24" s="85" t="str">
        <f t="shared" ref="H24:H31" si="10">(F24-F24*G24)</f>
        <v>0</v>
      </c>
    </row>
    <row r="25" ht="14.25" customHeight="1">
      <c r="A25" s="20"/>
      <c r="B25" s="330" t="s">
        <v>609</v>
      </c>
      <c r="C25" s="339">
        <v>0.1</v>
      </c>
      <c r="D25" s="85" t="str">
        <f t="shared" si="8"/>
        <v>0</v>
      </c>
      <c r="E25" s="340">
        <v>10.0</v>
      </c>
      <c r="F25" s="85" t="str">
        <f t="shared" si="9"/>
        <v>0</v>
      </c>
      <c r="G25" s="341">
        <v>0.1</v>
      </c>
      <c r="H25" s="85" t="str">
        <f t="shared" si="10"/>
        <v>0</v>
      </c>
    </row>
    <row r="26" ht="14.25" customHeight="1">
      <c r="A26" s="20"/>
      <c r="B26" s="330" t="s">
        <v>610</v>
      </c>
      <c r="C26" s="339">
        <v>0.0</v>
      </c>
      <c r="D26" s="85" t="str">
        <f t="shared" si="8"/>
        <v>0</v>
      </c>
      <c r="E26" s="340">
        <v>10.0</v>
      </c>
      <c r="F26" s="85" t="str">
        <f t="shared" si="9"/>
        <v>0</v>
      </c>
      <c r="G26" s="341">
        <v>0.05</v>
      </c>
      <c r="H26" s="85" t="str">
        <f t="shared" si="10"/>
        <v>0</v>
      </c>
    </row>
    <row r="27" ht="14.25" customHeight="1">
      <c r="A27" s="20"/>
      <c r="B27" s="330" t="s">
        <v>611</v>
      </c>
      <c r="C27" s="339">
        <v>0.0</v>
      </c>
      <c r="D27" s="85" t="str">
        <f t="shared" si="8"/>
        <v>0</v>
      </c>
      <c r="E27" s="340">
        <v>20.0</v>
      </c>
      <c r="F27" s="85" t="str">
        <f t="shared" si="9"/>
        <v>0</v>
      </c>
      <c r="G27" s="341">
        <v>0.0</v>
      </c>
      <c r="H27" s="85" t="str">
        <f t="shared" si="10"/>
        <v>0</v>
      </c>
    </row>
    <row r="28" ht="14.25" customHeight="1">
      <c r="A28" s="20"/>
      <c r="B28" s="330" t="s">
        <v>614</v>
      </c>
      <c r="C28" s="339">
        <v>0.0</v>
      </c>
      <c r="D28" s="85" t="str">
        <f t="shared" si="8"/>
        <v>0</v>
      </c>
      <c r="E28" s="340"/>
      <c r="F28" s="85" t="str">
        <f t="shared" si="9"/>
        <v>0</v>
      </c>
      <c r="G28" s="341">
        <v>0.0</v>
      </c>
      <c r="H28" s="85" t="str">
        <f t="shared" si="10"/>
        <v>0</v>
      </c>
    </row>
    <row r="29" ht="14.25" customHeight="1">
      <c r="A29" s="20"/>
      <c r="B29" s="330"/>
      <c r="C29" s="339">
        <v>0.0</v>
      </c>
      <c r="D29" s="85" t="str">
        <f t="shared" si="8"/>
        <v>0</v>
      </c>
      <c r="E29" s="340"/>
      <c r="F29" s="85" t="str">
        <f t="shared" si="9"/>
        <v>0</v>
      </c>
      <c r="G29" s="341">
        <v>0.0</v>
      </c>
      <c r="H29" s="85" t="str">
        <f t="shared" si="10"/>
        <v>0</v>
      </c>
    </row>
    <row r="30" ht="14.25" customHeight="1">
      <c r="A30" s="20"/>
      <c r="B30" s="330"/>
      <c r="C30" s="339">
        <v>0.0</v>
      </c>
      <c r="D30" s="85" t="str">
        <f t="shared" si="8"/>
        <v>0</v>
      </c>
      <c r="E30" s="340"/>
      <c r="F30" s="85" t="str">
        <f t="shared" si="9"/>
        <v>0</v>
      </c>
      <c r="G30" s="341">
        <v>0.0</v>
      </c>
      <c r="H30" s="85" t="str">
        <f t="shared" si="10"/>
        <v>0</v>
      </c>
    </row>
    <row r="31" ht="14.25" customHeight="1">
      <c r="A31" s="21"/>
      <c r="B31" s="330"/>
      <c r="C31" s="339">
        <v>0.0</v>
      </c>
      <c r="D31" s="85" t="str">
        <f t="shared" si="8"/>
        <v>0</v>
      </c>
      <c r="E31" s="340"/>
      <c r="F31" s="85" t="str">
        <f t="shared" si="9"/>
        <v>0</v>
      </c>
      <c r="G31" s="341">
        <v>0.0</v>
      </c>
      <c r="H31" s="85" t="str">
        <f t="shared" si="10"/>
        <v>0</v>
      </c>
    </row>
    <row r="32" ht="14.25" customHeight="1">
      <c r="A32" s="356" t="s">
        <v>615</v>
      </c>
      <c r="B32" s="339">
        <v>0.0</v>
      </c>
      <c r="C32" s="330" t="str">
        <f>B9*B32</f>
        <v>0</v>
      </c>
      <c r="D32" s="85"/>
      <c r="E32" s="340"/>
      <c r="F32" s="85"/>
      <c r="G32" s="341"/>
      <c r="H32" s="85"/>
    </row>
    <row r="33" ht="14.25" customHeight="1">
      <c r="A33" s="343" t="s">
        <v>591</v>
      </c>
      <c r="B33" s="330"/>
      <c r="C33" s="339">
        <v>0.0</v>
      </c>
      <c r="D33" s="85" t="str">
        <f t="shared" ref="D33:D36" si="11">C$32*C33</f>
        <v>0</v>
      </c>
      <c r="E33" s="340"/>
      <c r="F33" s="85" t="str">
        <f t="shared" ref="F33:F40" si="12">D33*E33</f>
        <v>0</v>
      </c>
      <c r="G33" s="341">
        <v>0.0</v>
      </c>
      <c r="H33" s="85" t="str">
        <f t="shared" ref="H33:H40" si="13">(F33-F33*G33)</f>
        <v>0</v>
      </c>
    </row>
    <row r="34" ht="14.25" customHeight="1">
      <c r="A34" s="18"/>
      <c r="B34" s="330"/>
      <c r="C34" s="339">
        <v>0.0</v>
      </c>
      <c r="D34" s="85" t="str">
        <f t="shared" si="11"/>
        <v>0</v>
      </c>
      <c r="E34" s="340"/>
      <c r="F34" s="85" t="str">
        <f t="shared" si="12"/>
        <v>0</v>
      </c>
      <c r="G34" s="341">
        <v>0.0</v>
      </c>
      <c r="H34" s="85" t="str">
        <f t="shared" si="13"/>
        <v>0</v>
      </c>
    </row>
    <row r="35" ht="14.25" customHeight="1">
      <c r="A35" s="18"/>
      <c r="B35" s="330"/>
      <c r="C35" s="339">
        <v>0.0</v>
      </c>
      <c r="D35" s="85" t="str">
        <f t="shared" si="11"/>
        <v>0</v>
      </c>
      <c r="E35" s="340"/>
      <c r="F35" s="85" t="str">
        <f t="shared" si="12"/>
        <v>0</v>
      </c>
      <c r="G35" s="341">
        <v>0.0</v>
      </c>
      <c r="H35" s="85" t="str">
        <f t="shared" si="13"/>
        <v>0</v>
      </c>
    </row>
    <row r="36" ht="14.25" customHeight="1">
      <c r="A36" s="344"/>
      <c r="B36" s="330"/>
      <c r="C36" s="339">
        <v>0.0</v>
      </c>
      <c r="D36" s="85" t="str">
        <f t="shared" si="11"/>
        <v>0</v>
      </c>
      <c r="E36" s="340"/>
      <c r="F36" s="85" t="str">
        <f t="shared" si="12"/>
        <v>0</v>
      </c>
      <c r="G36" s="341">
        <v>0.0</v>
      </c>
      <c r="H36" s="85" t="str">
        <f t="shared" si="13"/>
        <v>0</v>
      </c>
    </row>
    <row r="37" ht="14.25" customHeight="1">
      <c r="A37" s="357" t="s">
        <v>616</v>
      </c>
      <c r="B37" s="330" t="s">
        <v>383</v>
      </c>
      <c r="C37" s="339">
        <v>0.5</v>
      </c>
      <c r="D37" s="85" t="str">
        <f t="shared" ref="D37:D40" si="14">$B$9*C37</f>
        <v>0</v>
      </c>
      <c r="E37" s="340">
        <v>6.0</v>
      </c>
      <c r="F37" s="85" t="str">
        <f t="shared" si="12"/>
        <v>0</v>
      </c>
      <c r="G37" s="341">
        <v>0.05</v>
      </c>
      <c r="H37" s="85" t="str">
        <f t="shared" si="13"/>
        <v>0</v>
      </c>
    </row>
    <row r="38" ht="14.25" customHeight="1">
      <c r="A38" s="20"/>
      <c r="B38" s="330" t="s">
        <v>617</v>
      </c>
      <c r="C38" s="339">
        <v>0.0</v>
      </c>
      <c r="D38" s="85" t="str">
        <f t="shared" si="14"/>
        <v>0</v>
      </c>
      <c r="E38" s="340"/>
      <c r="F38" s="85" t="str">
        <f t="shared" si="12"/>
        <v>0</v>
      </c>
      <c r="G38" s="341">
        <v>0.0</v>
      </c>
      <c r="H38" s="85" t="str">
        <f t="shared" si="13"/>
        <v>0</v>
      </c>
    </row>
    <row r="39" ht="14.25" customHeight="1">
      <c r="A39" s="20"/>
      <c r="B39" s="330" t="s">
        <v>618</v>
      </c>
      <c r="C39" s="339">
        <v>0.0</v>
      </c>
      <c r="D39" s="85" t="str">
        <f t="shared" si="14"/>
        <v>0</v>
      </c>
      <c r="E39" s="340"/>
      <c r="F39" s="85" t="str">
        <f t="shared" si="12"/>
        <v>0</v>
      </c>
      <c r="G39" s="341">
        <v>0.0</v>
      </c>
      <c r="H39" s="85" t="str">
        <f t="shared" si="13"/>
        <v>0</v>
      </c>
    </row>
    <row r="40" ht="14.25" customHeight="1">
      <c r="A40" s="21"/>
      <c r="B40" s="330" t="s">
        <v>619</v>
      </c>
      <c r="C40" s="339">
        <v>0.0</v>
      </c>
      <c r="D40" s="85" t="str">
        <f t="shared" si="14"/>
        <v>0</v>
      </c>
      <c r="E40" s="340"/>
      <c r="F40" s="85" t="str">
        <f t="shared" si="12"/>
        <v>0</v>
      </c>
      <c r="G40" s="341">
        <v>0.0</v>
      </c>
      <c r="H40" s="85" t="str">
        <f t="shared" si="13"/>
        <v>0</v>
      </c>
    </row>
    <row r="41" ht="14.25" customHeight="1">
      <c r="A41" s="71" t="s">
        <v>593</v>
      </c>
    </row>
    <row r="42" ht="14.25" customHeight="1"/>
    <row r="43" ht="14.25" customHeight="1">
      <c r="A43" s="345" t="s">
        <v>620</v>
      </c>
      <c r="B43" s="5"/>
      <c r="C43" s="5"/>
      <c r="D43" s="5"/>
      <c r="E43" s="5"/>
      <c r="F43" s="5"/>
      <c r="G43" s="5"/>
      <c r="H43" s="6"/>
    </row>
    <row r="44" ht="14.25" customHeight="1">
      <c r="A44" s="346" t="s">
        <v>190</v>
      </c>
      <c r="B44" s="347">
        <v>0.35</v>
      </c>
      <c r="C44" s="347" t="str">
        <f t="shared" ref="C44:H44" si="15">B44+0.05</f>
        <v>40%</v>
      </c>
      <c r="D44" s="347" t="str">
        <f t="shared" si="15"/>
        <v>45%</v>
      </c>
      <c r="E44" s="347" t="str">
        <f t="shared" si="15"/>
        <v>50%</v>
      </c>
      <c r="F44" s="347" t="str">
        <f t="shared" si="15"/>
        <v>55%</v>
      </c>
      <c r="G44" s="347" t="str">
        <f t="shared" si="15"/>
        <v>60%</v>
      </c>
      <c r="H44" s="347" t="str">
        <f t="shared" si="15"/>
        <v>65%</v>
      </c>
    </row>
    <row r="45" ht="14.25" customHeight="1">
      <c r="A45" s="21"/>
      <c r="B45" s="328" t="s">
        <v>193</v>
      </c>
      <c r="C45" s="328" t="s">
        <v>194</v>
      </c>
      <c r="D45" s="328" t="s">
        <v>195</v>
      </c>
      <c r="E45" s="328" t="s">
        <v>196</v>
      </c>
      <c r="F45" s="328" t="s">
        <v>197</v>
      </c>
      <c r="G45" s="328" t="s">
        <v>198</v>
      </c>
      <c r="H45" s="328" t="s">
        <v>199</v>
      </c>
    </row>
    <row r="46" ht="14.25" customHeight="1">
      <c r="A46" s="85" t="str">
        <f t="shared" ref="A46:A54" si="17">B14</f>
        <v>Onion</v>
      </c>
      <c r="B46" s="85" t="str">
        <f t="shared" ref="B46:B54" si="18">H14*$B$44</f>
        <v>0</v>
      </c>
      <c r="C46" s="85" t="str">
        <f t="shared" ref="C46:H46" si="16">(B46/B$44)*C$44</f>
        <v>0</v>
      </c>
      <c r="D46" s="85" t="str">
        <f t="shared" si="16"/>
        <v>0</v>
      </c>
      <c r="E46" s="85" t="str">
        <f t="shared" si="16"/>
        <v>0</v>
      </c>
      <c r="F46" s="85" t="str">
        <f t="shared" si="16"/>
        <v>0</v>
      </c>
      <c r="G46" s="85" t="str">
        <f t="shared" si="16"/>
        <v>0</v>
      </c>
      <c r="H46" s="85" t="str">
        <f t="shared" si="16"/>
        <v>0</v>
      </c>
    </row>
    <row r="47" ht="14.25" customHeight="1">
      <c r="A47" s="85" t="str">
        <f t="shared" si="17"/>
        <v>Tomato</v>
      </c>
      <c r="B47" s="85" t="str">
        <f t="shared" si="18"/>
        <v>0</v>
      </c>
      <c r="C47" s="85" t="str">
        <f t="shared" ref="C47:H47" si="19">(B47/B$44)*C$44</f>
        <v>0</v>
      </c>
      <c r="D47" s="85" t="str">
        <f t="shared" si="19"/>
        <v>0</v>
      </c>
      <c r="E47" s="85" t="str">
        <f t="shared" si="19"/>
        <v>0</v>
      </c>
      <c r="F47" s="85" t="str">
        <f t="shared" si="19"/>
        <v>0</v>
      </c>
      <c r="G47" s="85" t="str">
        <f t="shared" si="19"/>
        <v>0</v>
      </c>
      <c r="H47" s="85" t="str">
        <f t="shared" si="19"/>
        <v>0</v>
      </c>
    </row>
    <row r="48" ht="14.25" customHeight="1">
      <c r="A48" s="85" t="str">
        <f t="shared" si="17"/>
        <v>Okra</v>
      </c>
      <c r="B48" s="85" t="str">
        <f t="shared" si="18"/>
        <v>0</v>
      </c>
      <c r="C48" s="85" t="str">
        <f t="shared" ref="C48:H48" si="20">(B48/B$44)*C$44</f>
        <v>0</v>
      </c>
      <c r="D48" s="85" t="str">
        <f t="shared" si="20"/>
        <v>0</v>
      </c>
      <c r="E48" s="85" t="str">
        <f t="shared" si="20"/>
        <v>0</v>
      </c>
      <c r="F48" s="85" t="str">
        <f t="shared" si="20"/>
        <v>0</v>
      </c>
      <c r="G48" s="85" t="str">
        <f t="shared" si="20"/>
        <v>0</v>
      </c>
      <c r="H48" s="85" t="str">
        <f t="shared" si="20"/>
        <v>0</v>
      </c>
    </row>
    <row r="49" ht="14.25" customHeight="1">
      <c r="A49" s="85" t="str">
        <f t="shared" si="17"/>
        <v>Chilli</v>
      </c>
      <c r="B49" s="85" t="str">
        <f t="shared" si="18"/>
        <v>0</v>
      </c>
      <c r="C49" s="85" t="str">
        <f t="shared" ref="C49:H49" si="21">(B49/B$44)*C$44</f>
        <v>0</v>
      </c>
      <c r="D49" s="85" t="str">
        <f t="shared" si="21"/>
        <v>0</v>
      </c>
      <c r="E49" s="85" t="str">
        <f t="shared" si="21"/>
        <v>0</v>
      </c>
      <c r="F49" s="85" t="str">
        <f t="shared" si="21"/>
        <v>0</v>
      </c>
      <c r="G49" s="85" t="str">
        <f t="shared" si="21"/>
        <v>0</v>
      </c>
      <c r="H49" s="85" t="str">
        <f t="shared" si="21"/>
        <v>0</v>
      </c>
    </row>
    <row r="50" ht="14.25" customHeight="1">
      <c r="A50" s="85" t="str">
        <f t="shared" si="17"/>
        <v>Potato</v>
      </c>
      <c r="B50" s="85" t="str">
        <f t="shared" si="18"/>
        <v>0</v>
      </c>
      <c r="C50" s="85" t="str">
        <f t="shared" ref="C50:H50" si="22">(B50/B$44)*C$44</f>
        <v>0</v>
      </c>
      <c r="D50" s="85" t="str">
        <f t="shared" si="22"/>
        <v>0</v>
      </c>
      <c r="E50" s="85" t="str">
        <f t="shared" si="22"/>
        <v>0</v>
      </c>
      <c r="F50" s="85" t="str">
        <f t="shared" si="22"/>
        <v>0</v>
      </c>
      <c r="G50" s="85" t="str">
        <f t="shared" si="22"/>
        <v>0</v>
      </c>
      <c r="H50" s="85" t="str">
        <f t="shared" si="22"/>
        <v>0</v>
      </c>
    </row>
    <row r="51" ht="14.25" customHeight="1">
      <c r="A51" s="85" t="str">
        <f t="shared" si="17"/>
        <v/>
      </c>
      <c r="B51" s="85" t="str">
        <f t="shared" si="18"/>
        <v>0</v>
      </c>
      <c r="C51" s="85" t="str">
        <f t="shared" ref="C51:H51" si="23">(B51/B$44)*C$44</f>
        <v>0</v>
      </c>
      <c r="D51" s="85" t="str">
        <f t="shared" si="23"/>
        <v>0</v>
      </c>
      <c r="E51" s="85" t="str">
        <f t="shared" si="23"/>
        <v>0</v>
      </c>
      <c r="F51" s="85" t="str">
        <f t="shared" si="23"/>
        <v>0</v>
      </c>
      <c r="G51" s="85" t="str">
        <f t="shared" si="23"/>
        <v>0</v>
      </c>
      <c r="H51" s="85" t="str">
        <f t="shared" si="23"/>
        <v>0</v>
      </c>
    </row>
    <row r="52" ht="14.25" customHeight="1">
      <c r="A52" s="85" t="str">
        <f t="shared" si="17"/>
        <v/>
      </c>
      <c r="B52" s="85" t="str">
        <f t="shared" si="18"/>
        <v>0</v>
      </c>
      <c r="C52" s="85" t="str">
        <f t="shared" ref="C52:H52" si="24">(B52/B$44)*C$44</f>
        <v>0</v>
      </c>
      <c r="D52" s="85" t="str">
        <f t="shared" si="24"/>
        <v>0</v>
      </c>
      <c r="E52" s="85" t="str">
        <f t="shared" si="24"/>
        <v>0</v>
      </c>
      <c r="F52" s="85" t="str">
        <f t="shared" si="24"/>
        <v>0</v>
      </c>
      <c r="G52" s="85" t="str">
        <f t="shared" si="24"/>
        <v>0</v>
      </c>
      <c r="H52" s="85" t="str">
        <f t="shared" si="24"/>
        <v>0</v>
      </c>
    </row>
    <row r="53" ht="14.25" customHeight="1">
      <c r="A53" s="85" t="str">
        <f t="shared" si="17"/>
        <v/>
      </c>
      <c r="B53" s="85" t="str">
        <f t="shared" si="18"/>
        <v>0</v>
      </c>
      <c r="C53" s="85" t="str">
        <f t="shared" ref="C53:H53" si="25">(B53/B$44)*C$44</f>
        <v>0</v>
      </c>
      <c r="D53" s="85" t="str">
        <f t="shared" si="25"/>
        <v>0</v>
      </c>
      <c r="E53" s="85" t="str">
        <f t="shared" si="25"/>
        <v>0</v>
      </c>
      <c r="F53" s="85" t="str">
        <f t="shared" si="25"/>
        <v>0</v>
      </c>
      <c r="G53" s="85" t="str">
        <f t="shared" si="25"/>
        <v>0</v>
      </c>
      <c r="H53" s="85" t="str">
        <f t="shared" si="25"/>
        <v>0</v>
      </c>
    </row>
    <row r="54" ht="14.25" customHeight="1">
      <c r="A54" s="85" t="str">
        <f t="shared" si="17"/>
        <v/>
      </c>
      <c r="B54" s="85" t="str">
        <f t="shared" si="18"/>
        <v>0</v>
      </c>
      <c r="C54" s="85" t="str">
        <f t="shared" ref="C54:H54" si="26">(B54/B$44)*C$44</f>
        <v>0</v>
      </c>
      <c r="D54" s="85" t="str">
        <f t="shared" si="26"/>
        <v>0</v>
      </c>
      <c r="E54" s="85" t="str">
        <f t="shared" si="26"/>
        <v>0</v>
      </c>
      <c r="F54" s="85" t="str">
        <f t="shared" si="26"/>
        <v>0</v>
      </c>
      <c r="G54" s="85" t="str">
        <f t="shared" si="26"/>
        <v>0</v>
      </c>
      <c r="H54" s="85" t="str">
        <f t="shared" si="26"/>
        <v>0</v>
      </c>
    </row>
    <row r="55" ht="14.25" customHeight="1">
      <c r="A55" s="85" t="str">
        <f t="shared" ref="A55:A62" si="28">B24</f>
        <v>Onion</v>
      </c>
      <c r="B55" s="85" t="str">
        <f t="shared" ref="B55:B62" si="29">H24*$B$44</f>
        <v>0</v>
      </c>
      <c r="C55" s="85" t="str">
        <f t="shared" ref="C55:H55" si="27">(B55/B$44)*C$44</f>
        <v>0</v>
      </c>
      <c r="D55" s="85" t="str">
        <f t="shared" si="27"/>
        <v>0</v>
      </c>
      <c r="E55" s="85" t="str">
        <f t="shared" si="27"/>
        <v>0</v>
      </c>
      <c r="F55" s="85" t="str">
        <f t="shared" si="27"/>
        <v>0</v>
      </c>
      <c r="G55" s="85" t="str">
        <f t="shared" si="27"/>
        <v>0</v>
      </c>
      <c r="H55" s="85" t="str">
        <f t="shared" si="27"/>
        <v>0</v>
      </c>
    </row>
    <row r="56" ht="14.25" customHeight="1">
      <c r="A56" s="85" t="str">
        <f t="shared" si="28"/>
        <v>Tomato</v>
      </c>
      <c r="B56" s="85" t="str">
        <f t="shared" si="29"/>
        <v>0</v>
      </c>
      <c r="C56" s="85" t="str">
        <f t="shared" ref="C56:H56" si="30">(B56/B$44)*C$44</f>
        <v>0</v>
      </c>
      <c r="D56" s="85" t="str">
        <f t="shared" si="30"/>
        <v>0</v>
      </c>
      <c r="E56" s="85" t="str">
        <f t="shared" si="30"/>
        <v>0</v>
      </c>
      <c r="F56" s="85" t="str">
        <f t="shared" si="30"/>
        <v>0</v>
      </c>
      <c r="G56" s="85" t="str">
        <f t="shared" si="30"/>
        <v>0</v>
      </c>
      <c r="H56" s="85" t="str">
        <f t="shared" si="30"/>
        <v>0</v>
      </c>
    </row>
    <row r="57" ht="14.25" customHeight="1">
      <c r="A57" s="85" t="str">
        <f t="shared" si="28"/>
        <v>Okra</v>
      </c>
      <c r="B57" s="85" t="str">
        <f t="shared" si="29"/>
        <v>0</v>
      </c>
      <c r="C57" s="85" t="str">
        <f t="shared" ref="C57:H57" si="31">(B57/B$44)*C$44</f>
        <v>0</v>
      </c>
      <c r="D57" s="85" t="str">
        <f t="shared" si="31"/>
        <v>0</v>
      </c>
      <c r="E57" s="85" t="str">
        <f t="shared" si="31"/>
        <v>0</v>
      </c>
      <c r="F57" s="85" t="str">
        <f t="shared" si="31"/>
        <v>0</v>
      </c>
      <c r="G57" s="85" t="str">
        <f t="shared" si="31"/>
        <v>0</v>
      </c>
      <c r="H57" s="85" t="str">
        <f t="shared" si="31"/>
        <v>0</v>
      </c>
    </row>
    <row r="58" ht="14.25" customHeight="1">
      <c r="A58" s="85" t="str">
        <f t="shared" si="28"/>
        <v>Chilli</v>
      </c>
      <c r="B58" s="85" t="str">
        <f t="shared" si="29"/>
        <v>0</v>
      </c>
      <c r="C58" s="85" t="str">
        <f t="shared" ref="C58:H58" si="32">(B58/B$44)*C$44</f>
        <v>0</v>
      </c>
      <c r="D58" s="85" t="str">
        <f t="shared" si="32"/>
        <v>0</v>
      </c>
      <c r="E58" s="85" t="str">
        <f t="shared" si="32"/>
        <v>0</v>
      </c>
      <c r="F58" s="85" t="str">
        <f t="shared" si="32"/>
        <v>0</v>
      </c>
      <c r="G58" s="85" t="str">
        <f t="shared" si="32"/>
        <v>0</v>
      </c>
      <c r="H58" s="85" t="str">
        <f t="shared" si="32"/>
        <v>0</v>
      </c>
    </row>
    <row r="59" ht="14.25" customHeight="1">
      <c r="A59" s="85" t="str">
        <f t="shared" si="28"/>
        <v>Brinjal</v>
      </c>
      <c r="B59" s="85" t="str">
        <f t="shared" si="29"/>
        <v>0</v>
      </c>
      <c r="C59" s="85" t="str">
        <f t="shared" ref="C59:H59" si="33">(B59/B$44)*C$44</f>
        <v>0</v>
      </c>
      <c r="D59" s="85" t="str">
        <f t="shared" si="33"/>
        <v>0</v>
      </c>
      <c r="E59" s="85" t="str">
        <f t="shared" si="33"/>
        <v>0</v>
      </c>
      <c r="F59" s="85" t="str">
        <f t="shared" si="33"/>
        <v>0</v>
      </c>
      <c r="G59" s="85" t="str">
        <f t="shared" si="33"/>
        <v>0</v>
      </c>
      <c r="H59" s="85" t="str">
        <f t="shared" si="33"/>
        <v>0</v>
      </c>
    </row>
    <row r="60" ht="14.25" customHeight="1">
      <c r="A60" s="85" t="str">
        <f t="shared" si="28"/>
        <v/>
      </c>
      <c r="B60" s="85" t="str">
        <f t="shared" si="29"/>
        <v>0</v>
      </c>
      <c r="C60" s="85" t="str">
        <f t="shared" ref="C60:H60" si="34">(B60/B$44)*C$44</f>
        <v>0</v>
      </c>
      <c r="D60" s="85" t="str">
        <f t="shared" si="34"/>
        <v>0</v>
      </c>
      <c r="E60" s="85" t="str">
        <f t="shared" si="34"/>
        <v>0</v>
      </c>
      <c r="F60" s="85" t="str">
        <f t="shared" si="34"/>
        <v>0</v>
      </c>
      <c r="G60" s="85" t="str">
        <f t="shared" si="34"/>
        <v>0</v>
      </c>
      <c r="H60" s="85" t="str">
        <f t="shared" si="34"/>
        <v>0</v>
      </c>
    </row>
    <row r="61" ht="14.25" customHeight="1">
      <c r="A61" s="85" t="str">
        <f t="shared" si="28"/>
        <v/>
      </c>
      <c r="B61" s="85" t="str">
        <f t="shared" si="29"/>
        <v>0</v>
      </c>
      <c r="C61" s="85" t="str">
        <f t="shared" ref="C61:H61" si="35">(B61/B$44)*C$44</f>
        <v>0</v>
      </c>
      <c r="D61" s="85" t="str">
        <f t="shared" si="35"/>
        <v>0</v>
      </c>
      <c r="E61" s="85" t="str">
        <f t="shared" si="35"/>
        <v>0</v>
      </c>
      <c r="F61" s="85" t="str">
        <f t="shared" si="35"/>
        <v>0</v>
      </c>
      <c r="G61" s="85" t="str">
        <f t="shared" si="35"/>
        <v>0</v>
      </c>
      <c r="H61" s="85" t="str">
        <f t="shared" si="35"/>
        <v>0</v>
      </c>
    </row>
    <row r="62" ht="14.25" customHeight="1">
      <c r="A62" s="85" t="str">
        <f t="shared" si="28"/>
        <v/>
      </c>
      <c r="B62" s="85" t="str">
        <f t="shared" si="29"/>
        <v>0</v>
      </c>
      <c r="C62" s="85" t="str">
        <f t="shared" ref="C62:H62" si="36">(B62/B$44)*C$44</f>
        <v>0</v>
      </c>
      <c r="D62" s="85" t="str">
        <f t="shared" si="36"/>
        <v>0</v>
      </c>
      <c r="E62" s="85" t="str">
        <f t="shared" si="36"/>
        <v>0</v>
      </c>
      <c r="F62" s="85" t="str">
        <f t="shared" si="36"/>
        <v>0</v>
      </c>
      <c r="G62" s="85" t="str">
        <f t="shared" si="36"/>
        <v>0</v>
      </c>
      <c r="H62" s="85" t="str">
        <f t="shared" si="36"/>
        <v>0</v>
      </c>
    </row>
    <row r="63" ht="14.25" customHeight="1">
      <c r="A63" s="85" t="str">
        <f t="shared" ref="A63:A70" si="38">B33</f>
        <v/>
      </c>
      <c r="B63" s="85" t="str">
        <f t="shared" ref="B63:B70" si="39">H33*$B$44</f>
        <v>0</v>
      </c>
      <c r="C63" s="85" t="str">
        <f t="shared" ref="C63:H63" si="37">(B63/B$44)*C$44</f>
        <v>0</v>
      </c>
      <c r="D63" s="85" t="str">
        <f t="shared" si="37"/>
        <v>0</v>
      </c>
      <c r="E63" s="85" t="str">
        <f t="shared" si="37"/>
        <v>0</v>
      </c>
      <c r="F63" s="85" t="str">
        <f t="shared" si="37"/>
        <v>0</v>
      </c>
      <c r="G63" s="85" t="str">
        <f t="shared" si="37"/>
        <v>0</v>
      </c>
      <c r="H63" s="85" t="str">
        <f t="shared" si="37"/>
        <v>0</v>
      </c>
    </row>
    <row r="64" ht="14.25" customHeight="1">
      <c r="A64" s="85" t="str">
        <f t="shared" si="38"/>
        <v/>
      </c>
      <c r="B64" s="85" t="str">
        <f t="shared" si="39"/>
        <v>0</v>
      </c>
      <c r="C64" s="85" t="str">
        <f t="shared" ref="C64:H64" si="40">(B64/B$44)*C$44</f>
        <v>0</v>
      </c>
      <c r="D64" s="85" t="str">
        <f t="shared" si="40"/>
        <v>0</v>
      </c>
      <c r="E64" s="85" t="str">
        <f t="shared" si="40"/>
        <v>0</v>
      </c>
      <c r="F64" s="85" t="str">
        <f t="shared" si="40"/>
        <v>0</v>
      </c>
      <c r="G64" s="85" t="str">
        <f t="shared" si="40"/>
        <v>0</v>
      </c>
      <c r="H64" s="85" t="str">
        <f t="shared" si="40"/>
        <v>0</v>
      </c>
    </row>
    <row r="65" ht="14.25" customHeight="1">
      <c r="A65" s="85" t="str">
        <f t="shared" si="38"/>
        <v/>
      </c>
      <c r="B65" s="85" t="str">
        <f t="shared" si="39"/>
        <v>0</v>
      </c>
      <c r="C65" s="85" t="str">
        <f t="shared" ref="C65:H65" si="41">(B65/B$44)*C$44</f>
        <v>0</v>
      </c>
      <c r="D65" s="85" t="str">
        <f t="shared" si="41"/>
        <v>0</v>
      </c>
      <c r="E65" s="85" t="str">
        <f t="shared" si="41"/>
        <v>0</v>
      </c>
      <c r="F65" s="85" t="str">
        <f t="shared" si="41"/>
        <v>0</v>
      </c>
      <c r="G65" s="85" t="str">
        <f t="shared" si="41"/>
        <v>0</v>
      </c>
      <c r="H65" s="85" t="str">
        <f t="shared" si="41"/>
        <v>0</v>
      </c>
    </row>
    <row r="66" ht="14.25" customHeight="1">
      <c r="A66" s="85" t="str">
        <f t="shared" si="38"/>
        <v/>
      </c>
      <c r="B66" s="85" t="str">
        <f t="shared" si="39"/>
        <v>0</v>
      </c>
      <c r="C66" s="85" t="str">
        <f t="shared" ref="C66:H66" si="42">(B66/B$44)*C$44</f>
        <v>0</v>
      </c>
      <c r="D66" s="85" t="str">
        <f t="shared" si="42"/>
        <v>0</v>
      </c>
      <c r="E66" s="85" t="str">
        <f t="shared" si="42"/>
        <v>0</v>
      </c>
      <c r="F66" s="85" t="str">
        <f t="shared" si="42"/>
        <v>0</v>
      </c>
      <c r="G66" s="85" t="str">
        <f t="shared" si="42"/>
        <v>0</v>
      </c>
      <c r="H66" s="85" t="str">
        <f t="shared" si="42"/>
        <v>0</v>
      </c>
    </row>
    <row r="67" ht="14.25" customHeight="1">
      <c r="A67" s="85" t="str">
        <f t="shared" si="38"/>
        <v>Pomegranate</v>
      </c>
      <c r="B67" s="85" t="str">
        <f t="shared" si="39"/>
        <v>0</v>
      </c>
      <c r="C67" s="85" t="str">
        <f t="shared" ref="C67:H67" si="43">(B67/B$44)*C$44</f>
        <v>0</v>
      </c>
      <c r="D67" s="85" t="str">
        <f t="shared" si="43"/>
        <v>0</v>
      </c>
      <c r="E67" s="85" t="str">
        <f t="shared" si="43"/>
        <v>0</v>
      </c>
      <c r="F67" s="85" t="str">
        <f t="shared" si="43"/>
        <v>0</v>
      </c>
      <c r="G67" s="85" t="str">
        <f t="shared" si="43"/>
        <v>0</v>
      </c>
      <c r="H67" s="85" t="str">
        <f t="shared" si="43"/>
        <v>0</v>
      </c>
    </row>
    <row r="68" ht="14.25" customHeight="1">
      <c r="A68" s="85" t="str">
        <f t="shared" si="38"/>
        <v>Custard Apple</v>
      </c>
      <c r="B68" s="85" t="str">
        <f t="shared" si="39"/>
        <v>0</v>
      </c>
      <c r="C68" s="85" t="str">
        <f t="shared" ref="C68:H68" si="44">(B68/B$44)*C$44</f>
        <v>0</v>
      </c>
      <c r="D68" s="85" t="str">
        <f t="shared" si="44"/>
        <v>0</v>
      </c>
      <c r="E68" s="85" t="str">
        <f t="shared" si="44"/>
        <v>0</v>
      </c>
      <c r="F68" s="85" t="str">
        <f t="shared" si="44"/>
        <v>0</v>
      </c>
      <c r="G68" s="85" t="str">
        <f t="shared" si="44"/>
        <v>0</v>
      </c>
      <c r="H68" s="85" t="str">
        <f t="shared" si="44"/>
        <v>0</v>
      </c>
    </row>
    <row r="69" ht="14.25" customHeight="1">
      <c r="A69" s="85" t="str">
        <f t="shared" si="38"/>
        <v>Guava</v>
      </c>
      <c r="B69" s="85" t="str">
        <f t="shared" si="39"/>
        <v>0</v>
      </c>
      <c r="C69" s="85" t="str">
        <f t="shared" ref="C69:H69" si="45">(B69/B$44)*C$44</f>
        <v>0</v>
      </c>
      <c r="D69" s="85" t="str">
        <f t="shared" si="45"/>
        <v>0</v>
      </c>
      <c r="E69" s="85" t="str">
        <f t="shared" si="45"/>
        <v>0</v>
      </c>
      <c r="F69" s="85" t="str">
        <f t="shared" si="45"/>
        <v>0</v>
      </c>
      <c r="G69" s="85" t="str">
        <f t="shared" si="45"/>
        <v>0</v>
      </c>
      <c r="H69" s="85" t="str">
        <f t="shared" si="45"/>
        <v>0</v>
      </c>
    </row>
    <row r="70" ht="14.25" customHeight="1">
      <c r="A70" s="85" t="str">
        <f t="shared" si="38"/>
        <v>Citrus</v>
      </c>
      <c r="B70" s="85" t="str">
        <f t="shared" si="39"/>
        <v>0</v>
      </c>
      <c r="C70" s="85" t="str">
        <f t="shared" ref="C70:H70" si="46">(B70/B$44)*C$44</f>
        <v>0</v>
      </c>
      <c r="D70" s="85" t="str">
        <f t="shared" si="46"/>
        <v>0</v>
      </c>
      <c r="E70" s="85" t="str">
        <f t="shared" si="46"/>
        <v>0</v>
      </c>
      <c r="F70" s="85" t="str">
        <f t="shared" si="46"/>
        <v>0</v>
      </c>
      <c r="G70" s="85" t="str">
        <f t="shared" si="46"/>
        <v>0</v>
      </c>
      <c r="H70" s="85" t="str">
        <f t="shared" si="46"/>
        <v>0</v>
      </c>
    </row>
    <row r="71" ht="14.25" customHeight="1">
      <c r="A71" s="349" t="s">
        <v>621</v>
      </c>
      <c r="B71" s="5"/>
      <c r="C71" s="5"/>
      <c r="D71" s="5"/>
      <c r="E71" s="5"/>
      <c r="F71" s="5"/>
      <c r="G71" s="5"/>
      <c r="H71" s="6"/>
    </row>
    <row r="72" ht="14.25" customHeight="1">
      <c r="A72" s="350" t="s">
        <v>190</v>
      </c>
      <c r="B72" s="351">
        <v>0.05</v>
      </c>
      <c r="C72" s="351" t="str">
        <f t="shared" ref="C72:H72" si="47">B72+0.05</f>
        <v>10%</v>
      </c>
      <c r="D72" s="351" t="str">
        <f t="shared" si="47"/>
        <v>15%</v>
      </c>
      <c r="E72" s="351" t="str">
        <f t="shared" si="47"/>
        <v>20%</v>
      </c>
      <c r="F72" s="351" t="str">
        <f t="shared" si="47"/>
        <v>25%</v>
      </c>
      <c r="G72" s="351" t="str">
        <f t="shared" si="47"/>
        <v>30%</v>
      </c>
      <c r="H72" s="351" t="str">
        <f t="shared" si="47"/>
        <v>35%</v>
      </c>
    </row>
    <row r="73" ht="14.25" customHeight="1">
      <c r="A73" s="21"/>
      <c r="B73" s="328" t="s">
        <v>193</v>
      </c>
      <c r="C73" s="328" t="s">
        <v>194</v>
      </c>
      <c r="D73" s="328" t="s">
        <v>195</v>
      </c>
      <c r="E73" s="328" t="s">
        <v>196</v>
      </c>
      <c r="F73" s="328" t="s">
        <v>197</v>
      </c>
      <c r="G73" s="328" t="s">
        <v>198</v>
      </c>
      <c r="H73" s="328" t="s">
        <v>199</v>
      </c>
    </row>
    <row r="74" ht="14.25" customHeight="1">
      <c r="A74" s="85" t="str">
        <f t="shared" ref="A74:A98" si="49">A46</f>
        <v>Onion</v>
      </c>
      <c r="B74" s="85" t="str">
        <f t="shared" ref="B74:H74" si="48">H14*$B$72</f>
        <v>0</v>
      </c>
      <c r="C74" s="85" t="str">
        <f t="shared" si="48"/>
        <v>0</v>
      </c>
      <c r="D74" s="85" t="str">
        <f t="shared" si="48"/>
        <v>0</v>
      </c>
      <c r="E74" s="85" t="str">
        <f t="shared" si="48"/>
        <v>0</v>
      </c>
      <c r="F74" s="85" t="str">
        <f t="shared" si="48"/>
        <v>0</v>
      </c>
      <c r="G74" s="85" t="str">
        <f t="shared" si="48"/>
        <v>0</v>
      </c>
      <c r="H74" s="85" t="str">
        <f t="shared" si="48"/>
        <v>0</v>
      </c>
    </row>
    <row r="75" ht="14.25" customHeight="1">
      <c r="A75" s="85" t="str">
        <f t="shared" si="49"/>
        <v>Tomato</v>
      </c>
      <c r="B75" s="85" t="str">
        <f>H15*$B$72*0</f>
        <v>0</v>
      </c>
      <c r="C75" s="85" t="str">
        <f t="shared" ref="C75:H75" si="50">(B75/B72)*C72</f>
        <v>0</v>
      </c>
      <c r="D75" s="85" t="str">
        <f t="shared" si="50"/>
        <v>0</v>
      </c>
      <c r="E75" s="85" t="str">
        <f t="shared" si="50"/>
        <v>0</v>
      </c>
      <c r="F75" s="85" t="str">
        <f t="shared" si="50"/>
        <v>0</v>
      </c>
      <c r="G75" s="85" t="str">
        <f t="shared" si="50"/>
        <v>0</v>
      </c>
      <c r="H75" s="85" t="str">
        <f t="shared" si="50"/>
        <v>0</v>
      </c>
    </row>
    <row r="76" ht="14.25" customHeight="1">
      <c r="A76" s="85" t="str">
        <f t="shared" si="49"/>
        <v>Okra</v>
      </c>
      <c r="B76" s="85" t="str">
        <f>H16*$B$72</f>
        <v>0</v>
      </c>
      <c r="C76" s="85" t="str">
        <f t="shared" ref="C76:H76" si="51">(B76/B72)*C72</f>
        <v>0</v>
      </c>
      <c r="D76" s="85" t="str">
        <f t="shared" si="51"/>
        <v>0</v>
      </c>
      <c r="E76" s="85" t="str">
        <f t="shared" si="51"/>
        <v>0</v>
      </c>
      <c r="F76" s="85" t="str">
        <f t="shared" si="51"/>
        <v>0</v>
      </c>
      <c r="G76" s="85" t="str">
        <f t="shared" si="51"/>
        <v>0</v>
      </c>
      <c r="H76" s="85" t="str">
        <f t="shared" si="51"/>
        <v>0</v>
      </c>
    </row>
    <row r="77" ht="14.25" customHeight="1">
      <c r="A77" s="85" t="str">
        <f t="shared" si="49"/>
        <v>Chilli</v>
      </c>
      <c r="B77" s="85" t="str">
        <f>H17*$B$72*0</f>
        <v>0</v>
      </c>
      <c r="C77" s="85" t="str">
        <f t="shared" ref="C77:H77" si="52">(B77/B$72)*C$72</f>
        <v>0</v>
      </c>
      <c r="D77" s="85" t="str">
        <f t="shared" si="52"/>
        <v>0</v>
      </c>
      <c r="E77" s="85" t="str">
        <f t="shared" si="52"/>
        <v>0</v>
      </c>
      <c r="F77" s="85" t="str">
        <f t="shared" si="52"/>
        <v>0</v>
      </c>
      <c r="G77" s="85" t="str">
        <f t="shared" si="52"/>
        <v>0</v>
      </c>
      <c r="H77" s="85" t="str">
        <f t="shared" si="52"/>
        <v>0</v>
      </c>
    </row>
    <row r="78" ht="14.25" customHeight="1">
      <c r="A78" s="85" t="str">
        <f t="shared" si="49"/>
        <v>Potato</v>
      </c>
      <c r="B78" s="85" t="str">
        <f t="shared" ref="B78:B82" si="54">H18*$B$72</f>
        <v>0</v>
      </c>
      <c r="C78" s="85" t="str">
        <f t="shared" ref="C78:H78" si="53">(B78/B$72)*C$72</f>
        <v>0</v>
      </c>
      <c r="D78" s="85" t="str">
        <f t="shared" si="53"/>
        <v>0</v>
      </c>
      <c r="E78" s="85" t="str">
        <f t="shared" si="53"/>
        <v>0</v>
      </c>
      <c r="F78" s="85" t="str">
        <f t="shared" si="53"/>
        <v>0</v>
      </c>
      <c r="G78" s="85" t="str">
        <f t="shared" si="53"/>
        <v>0</v>
      </c>
      <c r="H78" s="85" t="str">
        <f t="shared" si="53"/>
        <v>0</v>
      </c>
    </row>
    <row r="79" ht="14.25" customHeight="1">
      <c r="A79" s="85" t="str">
        <f t="shared" si="49"/>
        <v/>
      </c>
      <c r="B79" s="85" t="str">
        <f t="shared" si="54"/>
        <v>0</v>
      </c>
      <c r="C79" s="85" t="str">
        <f t="shared" ref="C79:H79" si="55">(B79/B$72)*C$72</f>
        <v>0</v>
      </c>
      <c r="D79" s="85" t="str">
        <f t="shared" si="55"/>
        <v>0</v>
      </c>
      <c r="E79" s="85" t="str">
        <f t="shared" si="55"/>
        <v>0</v>
      </c>
      <c r="F79" s="85" t="str">
        <f t="shared" si="55"/>
        <v>0</v>
      </c>
      <c r="G79" s="85" t="str">
        <f t="shared" si="55"/>
        <v>0</v>
      </c>
      <c r="H79" s="85" t="str">
        <f t="shared" si="55"/>
        <v>0</v>
      </c>
    </row>
    <row r="80" ht="14.25" customHeight="1">
      <c r="A80" s="85" t="str">
        <f t="shared" si="49"/>
        <v/>
      </c>
      <c r="B80" s="85" t="str">
        <f t="shared" si="54"/>
        <v>0</v>
      </c>
      <c r="C80" s="85" t="str">
        <f t="shared" ref="C80:H80" si="56">(B80/B$72)*C$72</f>
        <v>0</v>
      </c>
      <c r="D80" s="85" t="str">
        <f t="shared" si="56"/>
        <v>0</v>
      </c>
      <c r="E80" s="85" t="str">
        <f t="shared" si="56"/>
        <v>0</v>
      </c>
      <c r="F80" s="85" t="str">
        <f t="shared" si="56"/>
        <v>0</v>
      </c>
      <c r="G80" s="85" t="str">
        <f t="shared" si="56"/>
        <v>0</v>
      </c>
      <c r="H80" s="85" t="str">
        <f t="shared" si="56"/>
        <v>0</v>
      </c>
    </row>
    <row r="81" ht="14.25" customHeight="1">
      <c r="A81" s="85" t="str">
        <f t="shared" si="49"/>
        <v/>
      </c>
      <c r="B81" s="85" t="str">
        <f t="shared" si="54"/>
        <v>0</v>
      </c>
      <c r="C81" s="85" t="str">
        <f t="shared" ref="C81:H81" si="57">(B81/B$72)*C$72</f>
        <v>0</v>
      </c>
      <c r="D81" s="85" t="str">
        <f t="shared" si="57"/>
        <v>0</v>
      </c>
      <c r="E81" s="85" t="str">
        <f t="shared" si="57"/>
        <v>0</v>
      </c>
      <c r="F81" s="85" t="str">
        <f t="shared" si="57"/>
        <v>0</v>
      </c>
      <c r="G81" s="85" t="str">
        <f t="shared" si="57"/>
        <v>0</v>
      </c>
      <c r="H81" s="85" t="str">
        <f t="shared" si="57"/>
        <v>0</v>
      </c>
    </row>
    <row r="82" ht="14.25" customHeight="1">
      <c r="A82" s="85" t="str">
        <f t="shared" si="49"/>
        <v/>
      </c>
      <c r="B82" s="85" t="str">
        <f t="shared" si="54"/>
        <v>0</v>
      </c>
      <c r="C82" s="85" t="str">
        <f t="shared" ref="C82:H82" si="58">(B82/B$72)*C$72</f>
        <v>0</v>
      </c>
      <c r="D82" s="85" t="str">
        <f t="shared" si="58"/>
        <v>0</v>
      </c>
      <c r="E82" s="85" t="str">
        <f t="shared" si="58"/>
        <v>0</v>
      </c>
      <c r="F82" s="85" t="str">
        <f t="shared" si="58"/>
        <v>0</v>
      </c>
      <c r="G82" s="85" t="str">
        <f t="shared" si="58"/>
        <v>0</v>
      </c>
      <c r="H82" s="85" t="str">
        <f t="shared" si="58"/>
        <v>0</v>
      </c>
    </row>
    <row r="83" ht="14.25" customHeight="1">
      <c r="A83" s="85" t="str">
        <f t="shared" si="49"/>
        <v>Onion</v>
      </c>
      <c r="B83" s="85" t="str">
        <f t="shared" ref="B83:B90" si="60">H24*$B$72</f>
        <v>0</v>
      </c>
      <c r="C83" s="85" t="str">
        <f t="shared" ref="C83:H83" si="59">(B83/B$72)*C$72</f>
        <v>0</v>
      </c>
      <c r="D83" s="85" t="str">
        <f t="shared" si="59"/>
        <v>0</v>
      </c>
      <c r="E83" s="85" t="str">
        <f t="shared" si="59"/>
        <v>0</v>
      </c>
      <c r="F83" s="85" t="str">
        <f t="shared" si="59"/>
        <v>0</v>
      </c>
      <c r="G83" s="85" t="str">
        <f t="shared" si="59"/>
        <v>0</v>
      </c>
      <c r="H83" s="85" t="str">
        <f t="shared" si="59"/>
        <v>0</v>
      </c>
    </row>
    <row r="84" ht="14.25" customHeight="1">
      <c r="A84" s="85" t="str">
        <f t="shared" si="49"/>
        <v>Tomato</v>
      </c>
      <c r="B84" s="85" t="str">
        <f t="shared" si="60"/>
        <v>0</v>
      </c>
      <c r="C84" s="85" t="str">
        <f t="shared" ref="C84:H84" si="61">(B84/B$72)*C$72</f>
        <v>0</v>
      </c>
      <c r="D84" s="85" t="str">
        <f t="shared" si="61"/>
        <v>0</v>
      </c>
      <c r="E84" s="85" t="str">
        <f t="shared" si="61"/>
        <v>0</v>
      </c>
      <c r="F84" s="85" t="str">
        <f t="shared" si="61"/>
        <v>0</v>
      </c>
      <c r="G84" s="85" t="str">
        <f t="shared" si="61"/>
        <v>0</v>
      </c>
      <c r="H84" s="85" t="str">
        <f t="shared" si="61"/>
        <v>0</v>
      </c>
    </row>
    <row r="85" ht="14.25" customHeight="1">
      <c r="A85" s="85" t="str">
        <f t="shared" si="49"/>
        <v>Okra</v>
      </c>
      <c r="B85" s="85" t="str">
        <f t="shared" si="60"/>
        <v>0</v>
      </c>
      <c r="C85" s="85" t="str">
        <f t="shared" ref="C85:H85" si="62">(B85/B$72)*C$72</f>
        <v>0</v>
      </c>
      <c r="D85" s="85" t="str">
        <f t="shared" si="62"/>
        <v>0</v>
      </c>
      <c r="E85" s="85" t="str">
        <f t="shared" si="62"/>
        <v>0</v>
      </c>
      <c r="F85" s="85" t="str">
        <f t="shared" si="62"/>
        <v>0</v>
      </c>
      <c r="G85" s="85" t="str">
        <f t="shared" si="62"/>
        <v>0</v>
      </c>
      <c r="H85" s="85" t="str">
        <f t="shared" si="62"/>
        <v>0</v>
      </c>
    </row>
    <row r="86" ht="14.25" customHeight="1">
      <c r="A86" s="85" t="str">
        <f t="shared" si="49"/>
        <v>Chilli</v>
      </c>
      <c r="B86" s="85" t="str">
        <f t="shared" si="60"/>
        <v>0</v>
      </c>
      <c r="C86" s="85" t="str">
        <f t="shared" ref="C86:H86" si="63">(B86/B$72)*C$72</f>
        <v>0</v>
      </c>
      <c r="D86" s="85" t="str">
        <f t="shared" si="63"/>
        <v>0</v>
      </c>
      <c r="E86" s="85" t="str">
        <f t="shared" si="63"/>
        <v>0</v>
      </c>
      <c r="F86" s="85" t="str">
        <f t="shared" si="63"/>
        <v>0</v>
      </c>
      <c r="G86" s="85" t="str">
        <f t="shared" si="63"/>
        <v>0</v>
      </c>
      <c r="H86" s="85" t="str">
        <f t="shared" si="63"/>
        <v>0</v>
      </c>
    </row>
    <row r="87" ht="14.25" customHeight="1">
      <c r="A87" s="85" t="str">
        <f t="shared" si="49"/>
        <v>Brinjal</v>
      </c>
      <c r="B87" s="85" t="str">
        <f t="shared" si="60"/>
        <v>0</v>
      </c>
      <c r="C87" s="85" t="str">
        <f t="shared" ref="C87:H87" si="64">(B87/B$72)*C$72</f>
        <v>0</v>
      </c>
      <c r="D87" s="85" t="str">
        <f t="shared" si="64"/>
        <v>0</v>
      </c>
      <c r="E87" s="85" t="str">
        <f t="shared" si="64"/>
        <v>0</v>
      </c>
      <c r="F87" s="85" t="str">
        <f t="shared" si="64"/>
        <v>0</v>
      </c>
      <c r="G87" s="85" t="str">
        <f t="shared" si="64"/>
        <v>0</v>
      </c>
      <c r="H87" s="85" t="str">
        <f t="shared" si="64"/>
        <v>0</v>
      </c>
    </row>
    <row r="88" ht="14.25" customHeight="1">
      <c r="A88" s="85" t="str">
        <f t="shared" si="49"/>
        <v/>
      </c>
      <c r="B88" s="85" t="str">
        <f t="shared" si="60"/>
        <v>0</v>
      </c>
      <c r="C88" s="85" t="str">
        <f t="shared" ref="C88:H88" si="65">(B88/B$72)*C$72</f>
        <v>0</v>
      </c>
      <c r="D88" s="85" t="str">
        <f t="shared" si="65"/>
        <v>0</v>
      </c>
      <c r="E88" s="85" t="str">
        <f t="shared" si="65"/>
        <v>0</v>
      </c>
      <c r="F88" s="85" t="str">
        <f t="shared" si="65"/>
        <v>0</v>
      </c>
      <c r="G88" s="85" t="str">
        <f t="shared" si="65"/>
        <v>0</v>
      </c>
      <c r="H88" s="85" t="str">
        <f t="shared" si="65"/>
        <v>0</v>
      </c>
    </row>
    <row r="89" ht="14.25" customHeight="1">
      <c r="A89" s="85" t="str">
        <f t="shared" si="49"/>
        <v/>
      </c>
      <c r="B89" s="85" t="str">
        <f t="shared" si="60"/>
        <v>0</v>
      </c>
      <c r="C89" s="85" t="str">
        <f t="shared" ref="C89:H89" si="66">(B89/B$72)*C$72</f>
        <v>0</v>
      </c>
      <c r="D89" s="85" t="str">
        <f t="shared" si="66"/>
        <v>0</v>
      </c>
      <c r="E89" s="85" t="str">
        <f t="shared" si="66"/>
        <v>0</v>
      </c>
      <c r="F89" s="85" t="str">
        <f t="shared" si="66"/>
        <v>0</v>
      </c>
      <c r="G89" s="85" t="str">
        <f t="shared" si="66"/>
        <v>0</v>
      </c>
      <c r="H89" s="85" t="str">
        <f t="shared" si="66"/>
        <v>0</v>
      </c>
    </row>
    <row r="90" ht="14.25" customHeight="1">
      <c r="A90" s="85" t="str">
        <f t="shared" si="49"/>
        <v/>
      </c>
      <c r="B90" s="85" t="str">
        <f t="shared" si="60"/>
        <v>0</v>
      </c>
      <c r="C90" s="85" t="str">
        <f t="shared" ref="C90:H90" si="67">(B90/B$72)*C$72</f>
        <v>0</v>
      </c>
      <c r="D90" s="85" t="str">
        <f t="shared" si="67"/>
        <v>0</v>
      </c>
      <c r="E90" s="85" t="str">
        <f t="shared" si="67"/>
        <v>0</v>
      </c>
      <c r="F90" s="85" t="str">
        <f t="shared" si="67"/>
        <v>0</v>
      </c>
      <c r="G90" s="85" t="str">
        <f t="shared" si="67"/>
        <v>0</v>
      </c>
      <c r="H90" s="85" t="str">
        <f t="shared" si="67"/>
        <v>0</v>
      </c>
    </row>
    <row r="91" ht="14.25" customHeight="1">
      <c r="A91" s="85" t="str">
        <f t="shared" si="49"/>
        <v/>
      </c>
      <c r="B91" s="85" t="str">
        <f t="shared" ref="B91:B98" si="69">H33*$B$72</f>
        <v>0</v>
      </c>
      <c r="C91" s="85" t="str">
        <f t="shared" ref="C91:H91" si="68">(B91/B$72)*C$72</f>
        <v>0</v>
      </c>
      <c r="D91" s="85" t="str">
        <f t="shared" si="68"/>
        <v>0</v>
      </c>
      <c r="E91" s="85" t="str">
        <f t="shared" si="68"/>
        <v>0</v>
      </c>
      <c r="F91" s="85" t="str">
        <f t="shared" si="68"/>
        <v>0</v>
      </c>
      <c r="G91" s="85" t="str">
        <f t="shared" si="68"/>
        <v>0</v>
      </c>
      <c r="H91" s="85" t="str">
        <f t="shared" si="68"/>
        <v>0</v>
      </c>
    </row>
    <row r="92" ht="14.25" customHeight="1">
      <c r="A92" s="85" t="str">
        <f t="shared" si="49"/>
        <v/>
      </c>
      <c r="B92" s="85" t="str">
        <f t="shared" si="69"/>
        <v>0</v>
      </c>
      <c r="C92" s="85" t="str">
        <f t="shared" ref="C92:G92" si="70">(B92/B$72)*C$72</f>
        <v>0</v>
      </c>
      <c r="D92" s="85" t="str">
        <f t="shared" si="70"/>
        <v>0</v>
      </c>
      <c r="E92" s="85" t="str">
        <f t="shared" si="70"/>
        <v>0</v>
      </c>
      <c r="F92" s="85" t="str">
        <f t="shared" si="70"/>
        <v>0</v>
      </c>
      <c r="G92" s="85" t="str">
        <f t="shared" si="70"/>
        <v>0</v>
      </c>
      <c r="H92" s="85"/>
    </row>
    <row r="93" ht="14.25" customHeight="1">
      <c r="A93" s="85" t="str">
        <f t="shared" si="49"/>
        <v/>
      </c>
      <c r="B93" s="85" t="str">
        <f t="shared" si="69"/>
        <v>0</v>
      </c>
      <c r="C93" s="85" t="str">
        <f t="shared" ref="C93:G93" si="71">(B93/B$72)*C$72</f>
        <v>0</v>
      </c>
      <c r="D93" s="85" t="str">
        <f t="shared" si="71"/>
        <v>0</v>
      </c>
      <c r="E93" s="85" t="str">
        <f t="shared" si="71"/>
        <v>0</v>
      </c>
      <c r="F93" s="85" t="str">
        <f t="shared" si="71"/>
        <v>0</v>
      </c>
      <c r="G93" s="85" t="str">
        <f t="shared" si="71"/>
        <v>0</v>
      </c>
      <c r="H93" s="85"/>
    </row>
    <row r="94" ht="14.25" customHeight="1">
      <c r="A94" s="85" t="str">
        <f t="shared" si="49"/>
        <v/>
      </c>
      <c r="B94" s="85" t="str">
        <f t="shared" si="69"/>
        <v>0</v>
      </c>
      <c r="C94" s="85" t="str">
        <f t="shared" ref="C94:G94" si="72">(B94/B$72)*C$72</f>
        <v>0</v>
      </c>
      <c r="D94" s="85" t="str">
        <f t="shared" si="72"/>
        <v>0</v>
      </c>
      <c r="E94" s="85" t="str">
        <f t="shared" si="72"/>
        <v>0</v>
      </c>
      <c r="F94" s="85" t="str">
        <f t="shared" si="72"/>
        <v>0</v>
      </c>
      <c r="G94" s="85" t="str">
        <f t="shared" si="72"/>
        <v>0</v>
      </c>
      <c r="H94" s="85"/>
    </row>
    <row r="95" ht="14.25" customHeight="1">
      <c r="A95" s="85" t="str">
        <f t="shared" si="49"/>
        <v>Pomegranate</v>
      </c>
      <c r="B95" s="85" t="str">
        <f t="shared" si="69"/>
        <v>0</v>
      </c>
      <c r="C95" s="85" t="str">
        <f t="shared" ref="C95:H95" si="73">(B95/B$72)*C$72</f>
        <v>0</v>
      </c>
      <c r="D95" s="85" t="str">
        <f t="shared" si="73"/>
        <v>0</v>
      </c>
      <c r="E95" s="85" t="str">
        <f t="shared" si="73"/>
        <v>0</v>
      </c>
      <c r="F95" s="85" t="str">
        <f t="shared" si="73"/>
        <v>0</v>
      </c>
      <c r="G95" s="85" t="str">
        <f t="shared" si="73"/>
        <v>0</v>
      </c>
      <c r="H95" s="85" t="str">
        <f t="shared" si="73"/>
        <v>0</v>
      </c>
    </row>
    <row r="96" ht="14.25" customHeight="1">
      <c r="A96" s="85" t="str">
        <f t="shared" si="49"/>
        <v>Custard Apple</v>
      </c>
      <c r="B96" s="85" t="str">
        <f t="shared" si="69"/>
        <v>0</v>
      </c>
      <c r="C96" s="85" t="str">
        <f t="shared" ref="C96:H96" si="74">(B96/B$72)*C$72</f>
        <v>0</v>
      </c>
      <c r="D96" s="85" t="str">
        <f t="shared" si="74"/>
        <v>0</v>
      </c>
      <c r="E96" s="85" t="str">
        <f t="shared" si="74"/>
        <v>0</v>
      </c>
      <c r="F96" s="85" t="str">
        <f t="shared" si="74"/>
        <v>0</v>
      </c>
      <c r="G96" s="85" t="str">
        <f t="shared" si="74"/>
        <v>0</v>
      </c>
      <c r="H96" s="85" t="str">
        <f t="shared" si="74"/>
        <v>0</v>
      </c>
    </row>
    <row r="97" ht="14.25" customHeight="1">
      <c r="A97" s="85" t="str">
        <f t="shared" si="49"/>
        <v>Guava</v>
      </c>
      <c r="B97" s="85" t="str">
        <f t="shared" si="69"/>
        <v>0</v>
      </c>
      <c r="C97" s="85" t="str">
        <f t="shared" ref="C97:H97" si="75">(B97/B$72)*C$72</f>
        <v>0</v>
      </c>
      <c r="D97" s="85" t="str">
        <f t="shared" si="75"/>
        <v>0</v>
      </c>
      <c r="E97" s="85" t="str">
        <f t="shared" si="75"/>
        <v>0</v>
      </c>
      <c r="F97" s="85" t="str">
        <f t="shared" si="75"/>
        <v>0</v>
      </c>
      <c r="G97" s="85" t="str">
        <f t="shared" si="75"/>
        <v>0</v>
      </c>
      <c r="H97" s="85" t="str">
        <f t="shared" si="75"/>
        <v>0</v>
      </c>
    </row>
    <row r="98" ht="14.25" customHeight="1">
      <c r="A98" s="85" t="str">
        <f t="shared" si="49"/>
        <v>Citrus</v>
      </c>
      <c r="B98" s="85" t="str">
        <f t="shared" si="69"/>
        <v>0</v>
      </c>
      <c r="C98" s="85" t="str">
        <f t="shared" ref="C98:H98" si="76">(B98/B$72)*C$72</f>
        <v>0</v>
      </c>
      <c r="D98" s="85" t="str">
        <f t="shared" si="76"/>
        <v>0</v>
      </c>
      <c r="E98" s="85" t="str">
        <f t="shared" si="76"/>
        <v>0</v>
      </c>
      <c r="F98" s="85" t="str">
        <f t="shared" si="76"/>
        <v>0</v>
      </c>
      <c r="G98" s="85" t="str">
        <f t="shared" si="76"/>
        <v>0</v>
      </c>
      <c r="H98" s="85" t="str">
        <f t="shared" si="76"/>
        <v>0</v>
      </c>
    </row>
    <row r="99" ht="14.25" customHeight="1">
      <c r="A99" s="349" t="s">
        <v>622</v>
      </c>
      <c r="B99" s="5"/>
      <c r="C99" s="5"/>
      <c r="D99" s="5"/>
      <c r="E99" s="5"/>
      <c r="F99" s="5"/>
      <c r="G99" s="5"/>
      <c r="H99" s="6"/>
    </row>
    <row r="100" ht="14.25" customHeight="1">
      <c r="A100" s="353" t="s">
        <v>190</v>
      </c>
      <c r="B100" s="354">
        <v>0.65</v>
      </c>
      <c r="C100" s="355" t="str">
        <f t="shared" ref="C100:H100" si="77">B100+0.05</f>
        <v>70.0%</v>
      </c>
      <c r="D100" s="355" t="str">
        <f t="shared" si="77"/>
        <v>75.0%</v>
      </c>
      <c r="E100" s="355" t="str">
        <f t="shared" si="77"/>
        <v>80.0%</v>
      </c>
      <c r="F100" s="355" t="str">
        <f t="shared" si="77"/>
        <v>85.0%</v>
      </c>
      <c r="G100" s="355" t="str">
        <f t="shared" si="77"/>
        <v>90.0%</v>
      </c>
      <c r="H100" s="355" t="str">
        <f t="shared" si="77"/>
        <v>95.0%</v>
      </c>
    </row>
    <row r="101" ht="14.25" customHeight="1">
      <c r="A101" s="21"/>
      <c r="B101" s="328" t="s">
        <v>193</v>
      </c>
      <c r="C101" s="328" t="s">
        <v>194</v>
      </c>
      <c r="D101" s="328" t="s">
        <v>195</v>
      </c>
      <c r="E101" s="328" t="s">
        <v>196</v>
      </c>
      <c r="F101" s="328" t="s">
        <v>197</v>
      </c>
      <c r="G101" s="328" t="s">
        <v>198</v>
      </c>
      <c r="H101" s="328" t="s">
        <v>199</v>
      </c>
    </row>
    <row r="102" ht="14.25" customHeight="1">
      <c r="A102" s="85" t="str">
        <f t="shared" ref="A102:A126" si="79">A74</f>
        <v>Onion</v>
      </c>
      <c r="B102" s="85" t="str">
        <f t="shared" ref="B102:B110" si="80">D14*$B$100</f>
        <v>0</v>
      </c>
      <c r="C102" s="85" t="str">
        <f t="shared" ref="C102:H102" si="78">(B102/B$100)*C$100</f>
        <v>0</v>
      </c>
      <c r="D102" s="85" t="str">
        <f t="shared" si="78"/>
        <v>0</v>
      </c>
      <c r="E102" s="85" t="str">
        <f t="shared" si="78"/>
        <v>0</v>
      </c>
      <c r="F102" s="85" t="str">
        <f t="shared" si="78"/>
        <v>0</v>
      </c>
      <c r="G102" s="85" t="str">
        <f t="shared" si="78"/>
        <v>0</v>
      </c>
      <c r="H102" s="85" t="str">
        <f t="shared" si="78"/>
        <v>0</v>
      </c>
    </row>
    <row r="103" ht="14.25" customHeight="1">
      <c r="A103" s="85" t="str">
        <f t="shared" si="79"/>
        <v>Tomato</v>
      </c>
      <c r="B103" s="85" t="str">
        <f t="shared" si="80"/>
        <v>0</v>
      </c>
      <c r="C103" s="85" t="str">
        <f t="shared" ref="C103:C126" si="82">(B103/B$100)*C$100</f>
        <v>0</v>
      </c>
      <c r="D103" s="85" t="str">
        <f t="shared" ref="D103:H103" si="81">(C103/C100)*D100</f>
        <v>0</v>
      </c>
      <c r="E103" s="85" t="str">
        <f t="shared" si="81"/>
        <v>0</v>
      </c>
      <c r="F103" s="85" t="str">
        <f t="shared" si="81"/>
        <v>0</v>
      </c>
      <c r="G103" s="85" t="str">
        <f t="shared" si="81"/>
        <v>0</v>
      </c>
      <c r="H103" s="85" t="str">
        <f t="shared" si="81"/>
        <v>0</v>
      </c>
    </row>
    <row r="104" ht="14.25" customHeight="1">
      <c r="A104" s="85" t="str">
        <f t="shared" si="79"/>
        <v>Okra</v>
      </c>
      <c r="B104" s="85" t="str">
        <f t="shared" si="80"/>
        <v>0</v>
      </c>
      <c r="C104" s="85" t="str">
        <f t="shared" si="82"/>
        <v>0</v>
      </c>
      <c r="D104" s="85" t="str">
        <f t="shared" ref="D104:H104" si="83">(C104/C$100)*D$100</f>
        <v>0</v>
      </c>
      <c r="E104" s="85" t="str">
        <f t="shared" si="83"/>
        <v>0</v>
      </c>
      <c r="F104" s="85" t="str">
        <f t="shared" si="83"/>
        <v>0</v>
      </c>
      <c r="G104" s="85" t="str">
        <f t="shared" si="83"/>
        <v>0</v>
      </c>
      <c r="H104" s="85" t="str">
        <f t="shared" si="83"/>
        <v>0</v>
      </c>
    </row>
    <row r="105" ht="14.25" customHeight="1">
      <c r="A105" s="85" t="str">
        <f t="shared" si="79"/>
        <v>Chilli</v>
      </c>
      <c r="B105" s="85" t="str">
        <f t="shared" si="80"/>
        <v>0</v>
      </c>
      <c r="C105" s="85" t="str">
        <f t="shared" si="82"/>
        <v>0</v>
      </c>
      <c r="D105" s="85" t="str">
        <f t="shared" ref="D105:H105" si="84">(C105/C$100)*D$100</f>
        <v>0</v>
      </c>
      <c r="E105" s="85" t="str">
        <f t="shared" si="84"/>
        <v>0</v>
      </c>
      <c r="F105" s="85" t="str">
        <f t="shared" si="84"/>
        <v>0</v>
      </c>
      <c r="G105" s="85" t="str">
        <f t="shared" si="84"/>
        <v>0</v>
      </c>
      <c r="H105" s="85" t="str">
        <f t="shared" si="84"/>
        <v>0</v>
      </c>
    </row>
    <row r="106" ht="14.25" customHeight="1">
      <c r="A106" s="85" t="str">
        <f t="shared" si="79"/>
        <v>Potato</v>
      </c>
      <c r="B106" s="85" t="str">
        <f t="shared" si="80"/>
        <v>0</v>
      </c>
      <c r="C106" s="85" t="str">
        <f t="shared" si="82"/>
        <v>0</v>
      </c>
      <c r="D106" s="85" t="str">
        <f t="shared" ref="D106:H106" si="85">(C106/C$100)*D$100</f>
        <v>0</v>
      </c>
      <c r="E106" s="85" t="str">
        <f t="shared" si="85"/>
        <v>0</v>
      </c>
      <c r="F106" s="85" t="str">
        <f t="shared" si="85"/>
        <v>0</v>
      </c>
      <c r="G106" s="85" t="str">
        <f t="shared" si="85"/>
        <v>0</v>
      </c>
      <c r="H106" s="85" t="str">
        <f t="shared" si="85"/>
        <v>0</v>
      </c>
    </row>
    <row r="107" ht="14.25" customHeight="1">
      <c r="A107" s="85" t="str">
        <f t="shared" si="79"/>
        <v/>
      </c>
      <c r="B107" s="85" t="str">
        <f t="shared" si="80"/>
        <v>0</v>
      </c>
      <c r="C107" s="85" t="str">
        <f t="shared" si="82"/>
        <v>0</v>
      </c>
      <c r="D107" s="85" t="str">
        <f t="shared" ref="D107:H107" si="86">(C107/C$100)*D$100</f>
        <v>0</v>
      </c>
      <c r="E107" s="85" t="str">
        <f t="shared" si="86"/>
        <v>0</v>
      </c>
      <c r="F107" s="85" t="str">
        <f t="shared" si="86"/>
        <v>0</v>
      </c>
      <c r="G107" s="85" t="str">
        <f t="shared" si="86"/>
        <v>0</v>
      </c>
      <c r="H107" s="85" t="str">
        <f t="shared" si="86"/>
        <v>0</v>
      </c>
    </row>
    <row r="108" ht="14.25" customHeight="1">
      <c r="A108" s="85" t="str">
        <f t="shared" si="79"/>
        <v/>
      </c>
      <c r="B108" s="85" t="str">
        <f t="shared" si="80"/>
        <v>0</v>
      </c>
      <c r="C108" s="85" t="str">
        <f t="shared" si="82"/>
        <v>0</v>
      </c>
      <c r="D108" s="85" t="str">
        <f t="shared" ref="D108:H108" si="87">(C108/C$100)*D$100</f>
        <v>0</v>
      </c>
      <c r="E108" s="85" t="str">
        <f t="shared" si="87"/>
        <v>0</v>
      </c>
      <c r="F108" s="85" t="str">
        <f t="shared" si="87"/>
        <v>0</v>
      </c>
      <c r="G108" s="85" t="str">
        <f t="shared" si="87"/>
        <v>0</v>
      </c>
      <c r="H108" s="85" t="str">
        <f t="shared" si="87"/>
        <v>0</v>
      </c>
    </row>
    <row r="109" ht="14.25" customHeight="1">
      <c r="A109" s="85" t="str">
        <f t="shared" si="79"/>
        <v/>
      </c>
      <c r="B109" s="85" t="str">
        <f t="shared" si="80"/>
        <v>0</v>
      </c>
      <c r="C109" s="85" t="str">
        <f t="shared" si="82"/>
        <v>0</v>
      </c>
      <c r="D109" s="85" t="str">
        <f t="shared" ref="D109:H109" si="88">(C109/C$100)*D$100</f>
        <v>0</v>
      </c>
      <c r="E109" s="85" t="str">
        <f t="shared" si="88"/>
        <v>0</v>
      </c>
      <c r="F109" s="85" t="str">
        <f t="shared" si="88"/>
        <v>0</v>
      </c>
      <c r="G109" s="85" t="str">
        <f t="shared" si="88"/>
        <v>0</v>
      </c>
      <c r="H109" s="85" t="str">
        <f t="shared" si="88"/>
        <v>0</v>
      </c>
    </row>
    <row r="110" ht="14.25" customHeight="1">
      <c r="A110" s="85" t="str">
        <f t="shared" si="79"/>
        <v/>
      </c>
      <c r="B110" s="85" t="str">
        <f t="shared" si="80"/>
        <v>0</v>
      </c>
      <c r="C110" s="85" t="str">
        <f t="shared" si="82"/>
        <v>0</v>
      </c>
      <c r="D110" s="85" t="str">
        <f t="shared" ref="D110:H110" si="89">(C110/C$100)*D$100</f>
        <v>0</v>
      </c>
      <c r="E110" s="85" t="str">
        <f t="shared" si="89"/>
        <v>0</v>
      </c>
      <c r="F110" s="85" t="str">
        <f t="shared" si="89"/>
        <v>0</v>
      </c>
      <c r="G110" s="85" t="str">
        <f t="shared" si="89"/>
        <v>0</v>
      </c>
      <c r="H110" s="85" t="str">
        <f t="shared" si="89"/>
        <v>0</v>
      </c>
    </row>
    <row r="111" ht="14.25" customHeight="1">
      <c r="A111" s="85" t="str">
        <f t="shared" si="79"/>
        <v>Onion</v>
      </c>
      <c r="B111" s="85" t="str">
        <f t="shared" ref="B111:B118" si="91">D24*$B$100</f>
        <v>0</v>
      </c>
      <c r="C111" s="85" t="str">
        <f t="shared" si="82"/>
        <v>0</v>
      </c>
      <c r="D111" s="85" t="str">
        <f t="shared" ref="D111:H111" si="90">(C111/C$100)*D$100</f>
        <v>0</v>
      </c>
      <c r="E111" s="85" t="str">
        <f t="shared" si="90"/>
        <v>0</v>
      </c>
      <c r="F111" s="85" t="str">
        <f t="shared" si="90"/>
        <v>0</v>
      </c>
      <c r="G111" s="85" t="str">
        <f t="shared" si="90"/>
        <v>0</v>
      </c>
      <c r="H111" s="85" t="str">
        <f t="shared" si="90"/>
        <v>0</v>
      </c>
    </row>
    <row r="112" ht="14.25" customHeight="1">
      <c r="A112" s="85" t="str">
        <f t="shared" si="79"/>
        <v>Tomato</v>
      </c>
      <c r="B112" s="85" t="str">
        <f t="shared" si="91"/>
        <v>0</v>
      </c>
      <c r="C112" s="85" t="str">
        <f t="shared" si="82"/>
        <v>0</v>
      </c>
      <c r="D112" s="85" t="str">
        <f t="shared" ref="D112:H112" si="92">(C112/C$100)*D$100</f>
        <v>0</v>
      </c>
      <c r="E112" s="85" t="str">
        <f t="shared" si="92"/>
        <v>0</v>
      </c>
      <c r="F112" s="85" t="str">
        <f t="shared" si="92"/>
        <v>0</v>
      </c>
      <c r="G112" s="85" t="str">
        <f t="shared" si="92"/>
        <v>0</v>
      </c>
      <c r="H112" s="85" t="str">
        <f t="shared" si="92"/>
        <v>0</v>
      </c>
    </row>
    <row r="113" ht="14.25" customHeight="1">
      <c r="A113" s="85" t="str">
        <f t="shared" si="79"/>
        <v>Okra</v>
      </c>
      <c r="B113" s="85" t="str">
        <f t="shared" si="91"/>
        <v>0</v>
      </c>
      <c r="C113" s="85" t="str">
        <f t="shared" si="82"/>
        <v>0</v>
      </c>
      <c r="D113" s="85" t="str">
        <f t="shared" ref="D113:H113" si="93">(C113/C$100)*D$100</f>
        <v>0</v>
      </c>
      <c r="E113" s="85" t="str">
        <f t="shared" si="93"/>
        <v>0</v>
      </c>
      <c r="F113" s="85" t="str">
        <f t="shared" si="93"/>
        <v>0</v>
      </c>
      <c r="G113" s="85" t="str">
        <f t="shared" si="93"/>
        <v>0</v>
      </c>
      <c r="H113" s="85" t="str">
        <f t="shared" si="93"/>
        <v>0</v>
      </c>
    </row>
    <row r="114" ht="14.25" customHeight="1">
      <c r="A114" s="85" t="str">
        <f t="shared" si="79"/>
        <v>Chilli</v>
      </c>
      <c r="B114" s="85" t="str">
        <f t="shared" si="91"/>
        <v>0</v>
      </c>
      <c r="C114" s="85" t="str">
        <f t="shared" si="82"/>
        <v>0</v>
      </c>
      <c r="D114" s="85" t="str">
        <f t="shared" ref="D114:H114" si="94">(C114/C$100)*D$100</f>
        <v>0</v>
      </c>
      <c r="E114" s="85" t="str">
        <f t="shared" si="94"/>
        <v>0</v>
      </c>
      <c r="F114" s="85" t="str">
        <f t="shared" si="94"/>
        <v>0</v>
      </c>
      <c r="G114" s="85" t="str">
        <f t="shared" si="94"/>
        <v>0</v>
      </c>
      <c r="H114" s="85" t="str">
        <f t="shared" si="94"/>
        <v>0</v>
      </c>
    </row>
    <row r="115" ht="14.25" customHeight="1">
      <c r="A115" s="85" t="str">
        <f t="shared" si="79"/>
        <v>Brinjal</v>
      </c>
      <c r="B115" s="85" t="str">
        <f t="shared" si="91"/>
        <v>0</v>
      </c>
      <c r="C115" s="85" t="str">
        <f t="shared" si="82"/>
        <v>0</v>
      </c>
      <c r="D115" s="85" t="str">
        <f t="shared" ref="D115:H115" si="95">(C115/C$100)*D$100</f>
        <v>0</v>
      </c>
      <c r="E115" s="85" t="str">
        <f t="shared" si="95"/>
        <v>0</v>
      </c>
      <c r="F115" s="85" t="str">
        <f t="shared" si="95"/>
        <v>0</v>
      </c>
      <c r="G115" s="85" t="str">
        <f t="shared" si="95"/>
        <v>0</v>
      </c>
      <c r="H115" s="85" t="str">
        <f t="shared" si="95"/>
        <v>0</v>
      </c>
    </row>
    <row r="116" ht="14.25" customHeight="1">
      <c r="A116" s="85" t="str">
        <f t="shared" si="79"/>
        <v/>
      </c>
      <c r="B116" s="85" t="str">
        <f t="shared" si="91"/>
        <v>0</v>
      </c>
      <c r="C116" s="85" t="str">
        <f t="shared" si="82"/>
        <v>0</v>
      </c>
      <c r="D116" s="85" t="str">
        <f t="shared" ref="D116:H116" si="96">(C116/C$100)*D$100</f>
        <v>0</v>
      </c>
      <c r="E116" s="85" t="str">
        <f t="shared" si="96"/>
        <v>0</v>
      </c>
      <c r="F116" s="85" t="str">
        <f t="shared" si="96"/>
        <v>0</v>
      </c>
      <c r="G116" s="85" t="str">
        <f t="shared" si="96"/>
        <v>0</v>
      </c>
      <c r="H116" s="85" t="str">
        <f t="shared" si="96"/>
        <v>0</v>
      </c>
    </row>
    <row r="117" ht="14.25" customHeight="1">
      <c r="A117" s="85" t="str">
        <f t="shared" si="79"/>
        <v/>
      </c>
      <c r="B117" s="85" t="str">
        <f t="shared" si="91"/>
        <v>0</v>
      </c>
      <c r="C117" s="85" t="str">
        <f t="shared" si="82"/>
        <v>0</v>
      </c>
      <c r="D117" s="85" t="str">
        <f t="shared" ref="D117:H117" si="97">(C117/C$100)*D$100</f>
        <v>0</v>
      </c>
      <c r="E117" s="85" t="str">
        <f t="shared" si="97"/>
        <v>0</v>
      </c>
      <c r="F117" s="85" t="str">
        <f t="shared" si="97"/>
        <v>0</v>
      </c>
      <c r="G117" s="85" t="str">
        <f t="shared" si="97"/>
        <v>0</v>
      </c>
      <c r="H117" s="85" t="str">
        <f t="shared" si="97"/>
        <v>0</v>
      </c>
    </row>
    <row r="118" ht="14.25" customHeight="1">
      <c r="A118" s="85" t="str">
        <f t="shared" si="79"/>
        <v/>
      </c>
      <c r="B118" s="85" t="str">
        <f t="shared" si="91"/>
        <v>0</v>
      </c>
      <c r="C118" s="85" t="str">
        <f t="shared" si="82"/>
        <v>0</v>
      </c>
      <c r="D118" s="85" t="str">
        <f t="shared" ref="D118:H118" si="98">(C118/C$100)*D$100</f>
        <v>0</v>
      </c>
      <c r="E118" s="85" t="str">
        <f t="shared" si="98"/>
        <v>0</v>
      </c>
      <c r="F118" s="85" t="str">
        <f t="shared" si="98"/>
        <v>0</v>
      </c>
      <c r="G118" s="85" t="str">
        <f t="shared" si="98"/>
        <v>0</v>
      </c>
      <c r="H118" s="85" t="str">
        <f t="shared" si="98"/>
        <v>0</v>
      </c>
    </row>
    <row r="119" ht="14.25" customHeight="1">
      <c r="A119" s="85" t="str">
        <f t="shared" si="79"/>
        <v/>
      </c>
      <c r="B119" s="85" t="str">
        <f t="shared" ref="B119:B126" si="100">D33*$B$100</f>
        <v>0</v>
      </c>
      <c r="C119" s="85" t="str">
        <f t="shared" si="82"/>
        <v>0</v>
      </c>
      <c r="D119" s="85" t="str">
        <f t="shared" ref="D119:H119" si="99">(C119/C$100)*D$100</f>
        <v>0</v>
      </c>
      <c r="E119" s="85" t="str">
        <f t="shared" si="99"/>
        <v>0</v>
      </c>
      <c r="F119" s="85" t="str">
        <f t="shared" si="99"/>
        <v>0</v>
      </c>
      <c r="G119" s="85" t="str">
        <f t="shared" si="99"/>
        <v>0</v>
      </c>
      <c r="H119" s="85" t="str">
        <f t="shared" si="99"/>
        <v>0</v>
      </c>
    </row>
    <row r="120" ht="14.25" customHeight="1">
      <c r="A120" s="85" t="str">
        <f t="shared" si="79"/>
        <v/>
      </c>
      <c r="B120" s="85" t="str">
        <f t="shared" si="100"/>
        <v>0</v>
      </c>
      <c r="C120" s="85" t="str">
        <f t="shared" si="82"/>
        <v>0</v>
      </c>
      <c r="D120" s="85" t="str">
        <f t="shared" ref="D120:H120" si="101">(C120/C$100)*D$100</f>
        <v>0</v>
      </c>
      <c r="E120" s="85" t="str">
        <f t="shared" si="101"/>
        <v>0</v>
      </c>
      <c r="F120" s="85" t="str">
        <f t="shared" si="101"/>
        <v>0</v>
      </c>
      <c r="G120" s="85" t="str">
        <f t="shared" si="101"/>
        <v>0</v>
      </c>
      <c r="H120" s="85" t="str">
        <f t="shared" si="101"/>
        <v>0</v>
      </c>
    </row>
    <row r="121" ht="14.25" customHeight="1">
      <c r="A121" s="85" t="str">
        <f t="shared" si="79"/>
        <v/>
      </c>
      <c r="B121" s="85" t="str">
        <f t="shared" si="100"/>
        <v>0</v>
      </c>
      <c r="C121" s="85" t="str">
        <f t="shared" si="82"/>
        <v>0</v>
      </c>
      <c r="D121" s="85" t="str">
        <f t="shared" ref="D121:H121" si="102">(C121/C$100)*D$100</f>
        <v>0</v>
      </c>
      <c r="E121" s="85" t="str">
        <f t="shared" si="102"/>
        <v>0</v>
      </c>
      <c r="F121" s="85" t="str">
        <f t="shared" si="102"/>
        <v>0</v>
      </c>
      <c r="G121" s="85" t="str">
        <f t="shared" si="102"/>
        <v>0</v>
      </c>
      <c r="H121" s="85" t="str">
        <f t="shared" si="102"/>
        <v>0</v>
      </c>
    </row>
    <row r="122" ht="14.25" customHeight="1">
      <c r="A122" s="85" t="str">
        <f t="shared" si="79"/>
        <v/>
      </c>
      <c r="B122" s="85" t="str">
        <f t="shared" si="100"/>
        <v>0</v>
      </c>
      <c r="C122" s="85" t="str">
        <f t="shared" si="82"/>
        <v>0</v>
      </c>
      <c r="D122" s="85" t="str">
        <f t="shared" ref="D122:H122" si="103">(C122/C$100)*D$100</f>
        <v>0</v>
      </c>
      <c r="E122" s="85" t="str">
        <f t="shared" si="103"/>
        <v>0</v>
      </c>
      <c r="F122" s="85" t="str">
        <f t="shared" si="103"/>
        <v>0</v>
      </c>
      <c r="G122" s="85" t="str">
        <f t="shared" si="103"/>
        <v>0</v>
      </c>
      <c r="H122" s="85" t="str">
        <f t="shared" si="103"/>
        <v>0</v>
      </c>
    </row>
    <row r="123" ht="14.25" customHeight="1">
      <c r="A123" s="85" t="str">
        <f t="shared" si="79"/>
        <v>Pomegranate</v>
      </c>
      <c r="B123" s="85" t="str">
        <f t="shared" si="100"/>
        <v>0</v>
      </c>
      <c r="C123" s="85" t="str">
        <f t="shared" si="82"/>
        <v>0</v>
      </c>
      <c r="D123" s="85" t="str">
        <f t="shared" ref="D123:H123" si="104">(C123/C$100)*D$100</f>
        <v>0</v>
      </c>
      <c r="E123" s="85" t="str">
        <f t="shared" si="104"/>
        <v>0</v>
      </c>
      <c r="F123" s="85" t="str">
        <f t="shared" si="104"/>
        <v>0</v>
      </c>
      <c r="G123" s="85" t="str">
        <f t="shared" si="104"/>
        <v>0</v>
      </c>
      <c r="H123" s="85" t="str">
        <f t="shared" si="104"/>
        <v>0</v>
      </c>
    </row>
    <row r="124" ht="14.25" customHeight="1">
      <c r="A124" s="85" t="str">
        <f t="shared" si="79"/>
        <v>Custard Apple</v>
      </c>
      <c r="B124" s="85" t="str">
        <f t="shared" si="100"/>
        <v>0</v>
      </c>
      <c r="C124" s="85" t="str">
        <f t="shared" si="82"/>
        <v>0</v>
      </c>
      <c r="D124" s="85" t="str">
        <f t="shared" ref="D124:H124" si="105">(C124/C$100)*D$100</f>
        <v>0</v>
      </c>
      <c r="E124" s="85" t="str">
        <f t="shared" si="105"/>
        <v>0</v>
      </c>
      <c r="F124" s="85" t="str">
        <f t="shared" si="105"/>
        <v>0</v>
      </c>
      <c r="G124" s="85" t="str">
        <f t="shared" si="105"/>
        <v>0</v>
      </c>
      <c r="H124" s="85" t="str">
        <f t="shared" si="105"/>
        <v>0</v>
      </c>
    </row>
    <row r="125" ht="14.25" customHeight="1">
      <c r="A125" s="85" t="str">
        <f t="shared" si="79"/>
        <v>Guava</v>
      </c>
      <c r="B125" s="85" t="str">
        <f t="shared" si="100"/>
        <v>0</v>
      </c>
      <c r="C125" s="85" t="str">
        <f t="shared" si="82"/>
        <v>0</v>
      </c>
      <c r="D125" s="85" t="str">
        <f t="shared" ref="D125:H125" si="106">(C125/C$100)*D$100</f>
        <v>0</v>
      </c>
      <c r="E125" s="85" t="str">
        <f t="shared" si="106"/>
        <v>0</v>
      </c>
      <c r="F125" s="85" t="str">
        <f t="shared" si="106"/>
        <v>0</v>
      </c>
      <c r="G125" s="85" t="str">
        <f t="shared" si="106"/>
        <v>0</v>
      </c>
      <c r="H125" s="85" t="str">
        <f t="shared" si="106"/>
        <v>0</v>
      </c>
    </row>
    <row r="126" ht="14.25" customHeight="1">
      <c r="A126" s="85" t="str">
        <f t="shared" si="79"/>
        <v>Citrus</v>
      </c>
      <c r="B126" s="85" t="str">
        <f t="shared" si="100"/>
        <v>0</v>
      </c>
      <c r="C126" s="85" t="str">
        <f t="shared" si="82"/>
        <v>0</v>
      </c>
      <c r="D126" s="85" t="str">
        <f t="shared" ref="D126:H126" si="107">(C126/C$100)*D$100</f>
        <v>0</v>
      </c>
      <c r="E126" s="85" t="str">
        <f t="shared" si="107"/>
        <v>0</v>
      </c>
      <c r="F126" s="85" t="str">
        <f t="shared" si="107"/>
        <v>0</v>
      </c>
      <c r="G126" s="85" t="str">
        <f t="shared" si="107"/>
        <v>0</v>
      </c>
      <c r="H126" s="85" t="str">
        <f t="shared" si="107"/>
        <v>0</v>
      </c>
    </row>
    <row r="127" ht="14.25" customHeight="1"/>
    <row r="128" ht="14.25" customHeight="1">
      <c r="C128" s="228"/>
      <c r="D128" s="286"/>
      <c r="E128" s="286"/>
      <c r="F128" s="286"/>
      <c r="G128" s="286"/>
      <c r="H128" s="286"/>
      <c r="I128" s="286"/>
    </row>
    <row r="129" ht="14.25" customHeight="1">
      <c r="A129" t="s">
        <v>597</v>
      </c>
      <c r="C129" s="71"/>
      <c r="D129" s="71"/>
      <c r="E129" s="71"/>
      <c r="F129" s="71"/>
      <c r="G129" s="71"/>
      <c r="H129" s="71"/>
      <c r="I129" s="71"/>
    </row>
    <row r="130" ht="14.25" customHeight="1">
      <c r="A130">
        <v>1.0</v>
      </c>
      <c r="B130" t="s">
        <v>623</v>
      </c>
    </row>
    <row r="131" ht="14.25" customHeight="1">
      <c r="A131">
        <v>2.0</v>
      </c>
      <c r="B131" t="s">
        <v>624</v>
      </c>
    </row>
    <row r="132" ht="14.25" customHeight="1">
      <c r="A132">
        <v>3.0</v>
      </c>
      <c r="B132" t="s">
        <v>600</v>
      </c>
    </row>
  </sheetData>
  <mergeCells count="13">
    <mergeCell ref="A3:B3"/>
    <mergeCell ref="A1:H1"/>
    <mergeCell ref="A37:A40"/>
    <mergeCell ref="A44:A45"/>
    <mergeCell ref="A71:H71"/>
    <mergeCell ref="A72:A73"/>
    <mergeCell ref="A99:H99"/>
    <mergeCell ref="A100:A101"/>
    <mergeCell ref="A11:H11"/>
    <mergeCell ref="A14:A22"/>
    <mergeCell ref="A24:A31"/>
    <mergeCell ref="A41:H41"/>
    <mergeCell ref="A43:H43"/>
  </mergeCells>
  <printOptions/>
  <pageMargins bottom="0.75" footer="0.0" header="0.0" left="0.7" right="0.7" top="0.75"/>
  <pageSetup scale="93" orientation="portrait"/>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2.43"/>
    <col customWidth="1" min="2" max="2" width="23.43"/>
    <col customWidth="1" min="3" max="3" width="11.86"/>
    <col customWidth="1" min="4" max="5" width="15.86"/>
    <col customWidth="1" min="6" max="6" width="18.14"/>
    <col customWidth="1" min="7" max="10" width="15.86"/>
    <col customWidth="1" min="11" max="11" width="10.57"/>
    <col customWidth="1" min="12" max="12" width="8.71"/>
    <col customWidth="1" min="13" max="13" width="22.86"/>
    <col customWidth="1" min="14" max="14" width="12.86"/>
    <col customWidth="1" min="15" max="20" width="8.71"/>
  </cols>
  <sheetData>
    <row r="1" ht="14.25" customHeight="1"/>
    <row r="2" ht="14.25" customHeight="1">
      <c r="A2" s="25" t="s">
        <v>625</v>
      </c>
    </row>
    <row r="3" ht="14.25" customHeight="1">
      <c r="A3" s="25" t="s">
        <v>626</v>
      </c>
    </row>
    <row r="4" ht="14.25" customHeight="1">
      <c r="B4" s="111"/>
      <c r="C4" s="111"/>
      <c r="D4" s="111"/>
      <c r="E4" s="111"/>
      <c r="F4" s="24" t="s">
        <v>627</v>
      </c>
    </row>
    <row r="5" ht="14.25" customHeight="1">
      <c r="A5" s="111" t="s">
        <v>133</v>
      </c>
      <c r="B5" s="358">
        <v>40.0</v>
      </c>
      <c r="C5" s="111" t="s">
        <v>628</v>
      </c>
      <c r="D5" s="111"/>
      <c r="E5" s="111"/>
      <c r="F5" s="164" t="s">
        <v>629</v>
      </c>
      <c r="G5" s="164" t="s">
        <v>630</v>
      </c>
      <c r="H5" s="111"/>
    </row>
    <row r="6" ht="14.25" customHeight="1">
      <c r="A6" s="111" t="s">
        <v>631</v>
      </c>
      <c r="B6" s="189">
        <v>7.0</v>
      </c>
      <c r="C6" s="111"/>
      <c r="D6" s="111"/>
      <c r="E6" s="111"/>
      <c r="F6" s="85" t="s">
        <v>632</v>
      </c>
      <c r="G6" s="359">
        <v>0.02</v>
      </c>
      <c r="H6" s="111"/>
    </row>
    <row r="7" ht="14.25" customHeight="1">
      <c r="A7" s="111"/>
      <c r="B7" s="111"/>
      <c r="C7" s="111"/>
      <c r="D7" s="111"/>
      <c r="E7" s="111"/>
      <c r="F7" s="85" t="s">
        <v>633</v>
      </c>
      <c r="G7" s="359">
        <v>0.05</v>
      </c>
      <c r="H7" s="111"/>
    </row>
    <row r="8" ht="14.25" customHeight="1">
      <c r="A8" s="111" t="s">
        <v>634</v>
      </c>
      <c r="B8" s="111">
        <v>0.0</v>
      </c>
      <c r="C8" s="111"/>
      <c r="D8" s="111"/>
      <c r="E8" s="111"/>
      <c r="F8" s="85"/>
      <c r="G8" s="359"/>
      <c r="H8" s="111"/>
    </row>
    <row r="9" ht="14.25" customHeight="1">
      <c r="A9" s="114" t="s">
        <v>190</v>
      </c>
      <c r="B9" s="115" t="s">
        <v>193</v>
      </c>
      <c r="C9" s="115" t="s">
        <v>194</v>
      </c>
      <c r="D9" s="115" t="s">
        <v>195</v>
      </c>
      <c r="E9" s="115" t="s">
        <v>196</v>
      </c>
      <c r="F9" s="115" t="s">
        <v>197</v>
      </c>
      <c r="G9" s="115" t="s">
        <v>198</v>
      </c>
      <c r="H9" s="115" t="s">
        <v>199</v>
      </c>
    </row>
    <row r="10" ht="14.25" customHeight="1">
      <c r="A10" s="73" t="s">
        <v>635</v>
      </c>
      <c r="B10" s="360" t="str">
        <f t="shared" ref="B10:H10" si="1">B33/($B$5*6)</f>
        <v>  -   </v>
      </c>
      <c r="C10" s="360" t="str">
        <f t="shared" si="1"/>
        <v>  -   </v>
      </c>
      <c r="D10" s="360" t="str">
        <f t="shared" si="1"/>
        <v>  -   </v>
      </c>
      <c r="E10" s="360" t="str">
        <f t="shared" si="1"/>
        <v>  -   </v>
      </c>
      <c r="F10" s="360" t="str">
        <f t="shared" si="1"/>
        <v>  -   </v>
      </c>
      <c r="G10" s="360" t="str">
        <f t="shared" si="1"/>
        <v>  -   </v>
      </c>
      <c r="H10" s="360" t="str">
        <f t="shared" si="1"/>
        <v>  -   </v>
      </c>
    </row>
    <row r="11" ht="14.25" customHeight="1">
      <c r="A11" s="361" t="str">
        <f>'10.Grain Production details'!A42</f>
        <v> Soybean</v>
      </c>
      <c r="B11" s="361" t="str">
        <f>'10.Grain Production details'!B42</f>
        <v>  -   </v>
      </c>
      <c r="C11" s="361" t="str">
        <f>'10.Grain Production details'!C42</f>
        <v>  -   </v>
      </c>
      <c r="D11" s="361" t="str">
        <f>'10.Grain Production details'!D42</f>
        <v>  -   </v>
      </c>
      <c r="E11" s="361" t="str">
        <f>'10.Grain Production details'!E42</f>
        <v>  -   </v>
      </c>
      <c r="F11" s="361" t="str">
        <f>'10.Grain Production details'!F42</f>
        <v>  -   </v>
      </c>
      <c r="G11" s="361" t="str">
        <f>'10.Grain Production details'!G42</f>
        <v>  -   </v>
      </c>
      <c r="H11" s="361" t="str">
        <f>'10.Grain Production details'!H42</f>
        <v>  -   </v>
      </c>
    </row>
    <row r="12" ht="14.25" customHeight="1">
      <c r="A12" s="361" t="str">
        <f>'10.Grain Production details'!A43</f>
        <v> Red Gram/Tur</v>
      </c>
      <c r="B12" s="361" t="str">
        <f>'10.Grain Production details'!B43</f>
        <v>  -   </v>
      </c>
      <c r="C12" s="361" t="str">
        <f>'10.Grain Production details'!C43</f>
        <v>  -   </v>
      </c>
      <c r="D12" s="361" t="str">
        <f>'10.Grain Production details'!D43</f>
        <v>  -   </v>
      </c>
      <c r="E12" s="361" t="str">
        <f>'10.Grain Production details'!E43</f>
        <v>  -   </v>
      </c>
      <c r="F12" s="361" t="str">
        <f>'10.Grain Production details'!F43</f>
        <v>  -   </v>
      </c>
      <c r="G12" s="361" t="str">
        <f>'10.Grain Production details'!G43</f>
        <v>  -   </v>
      </c>
      <c r="H12" s="361" t="str">
        <f>'10.Grain Production details'!H43</f>
        <v>  -   </v>
      </c>
    </row>
    <row r="13" ht="14.25" customHeight="1">
      <c r="A13" s="361" t="str">
        <f>'10.Grain Production details'!A44</f>
        <v> Paddy/Rice</v>
      </c>
      <c r="B13" s="361" t="str">
        <f>'10.Grain Production details'!B44</f>
        <v>  -   </v>
      </c>
      <c r="C13" s="361" t="str">
        <f>'10.Grain Production details'!C44</f>
        <v>  -   </v>
      </c>
      <c r="D13" s="361" t="str">
        <f>'10.Grain Production details'!D44</f>
        <v>  -   </v>
      </c>
      <c r="E13" s="361" t="str">
        <f>'10.Grain Production details'!E44</f>
        <v>  -   </v>
      </c>
      <c r="F13" s="361" t="str">
        <f>'10.Grain Production details'!F44</f>
        <v>  -   </v>
      </c>
      <c r="G13" s="361" t="str">
        <f>'10.Grain Production details'!G44</f>
        <v>  -   </v>
      </c>
      <c r="H13" s="361" t="str">
        <f>'10.Grain Production details'!H44</f>
        <v>  -   </v>
      </c>
    </row>
    <row r="14" ht="14.25" customHeight="1">
      <c r="A14" s="361" t="str">
        <f>'10.Grain Production details'!A45</f>
        <v> Green Gram/ Moong</v>
      </c>
      <c r="B14" s="361" t="str">
        <f>'10.Grain Production details'!B45</f>
        <v>  -   </v>
      </c>
      <c r="C14" s="361" t="str">
        <f>'10.Grain Production details'!C45</f>
        <v>  -   </v>
      </c>
      <c r="D14" s="361" t="str">
        <f>'10.Grain Production details'!D45</f>
        <v>  -   </v>
      </c>
      <c r="E14" s="361" t="str">
        <f>'10.Grain Production details'!E45</f>
        <v>  -   </v>
      </c>
      <c r="F14" s="361" t="str">
        <f>'10.Grain Production details'!F45</f>
        <v>  -   </v>
      </c>
      <c r="G14" s="361" t="str">
        <f>'10.Grain Production details'!G45</f>
        <v>  -   </v>
      </c>
      <c r="H14" s="361" t="str">
        <f>'10.Grain Production details'!H45</f>
        <v>  -   </v>
      </c>
    </row>
    <row r="15" ht="14.25" customHeight="1">
      <c r="A15" s="361" t="str">
        <f>'10.Grain Production details'!A46</f>
        <v> Maize</v>
      </c>
      <c r="B15" s="361" t="str">
        <f>'10.Grain Production details'!B46</f>
        <v>  -   </v>
      </c>
      <c r="C15" s="361" t="str">
        <f>'10.Grain Production details'!C46</f>
        <v>  -   </v>
      </c>
      <c r="D15" s="361" t="str">
        <f>'10.Grain Production details'!D46</f>
        <v>  -   </v>
      </c>
      <c r="E15" s="361" t="str">
        <f>'10.Grain Production details'!E46</f>
        <v>  -   </v>
      </c>
      <c r="F15" s="361" t="str">
        <f>'10.Grain Production details'!F46</f>
        <v>  -   </v>
      </c>
      <c r="G15" s="361" t="str">
        <f>'10.Grain Production details'!G46</f>
        <v>  -   </v>
      </c>
      <c r="H15" s="361" t="str">
        <f>'10.Grain Production details'!H46</f>
        <v>  -   </v>
      </c>
    </row>
    <row r="16" ht="14.25" customHeight="1">
      <c r="A16" s="361" t="str">
        <f>'10.Grain Production details'!A47</f>
        <v> Black Gram/Udid</v>
      </c>
      <c r="B16" s="361" t="str">
        <f>'10.Grain Production details'!B47</f>
        <v>  -   </v>
      </c>
      <c r="C16" s="361" t="str">
        <f>'10.Grain Production details'!C47</f>
        <v>  -   </v>
      </c>
      <c r="D16" s="361" t="str">
        <f>'10.Grain Production details'!D47</f>
        <v>  -   </v>
      </c>
      <c r="E16" s="361" t="str">
        <f>'10.Grain Production details'!E47</f>
        <v>  -   </v>
      </c>
      <c r="F16" s="361" t="str">
        <f>'10.Grain Production details'!F47</f>
        <v>  -   </v>
      </c>
      <c r="G16" s="361" t="str">
        <f>'10.Grain Production details'!G47</f>
        <v>  -   </v>
      </c>
      <c r="H16" s="361" t="str">
        <f>'10.Grain Production details'!H47</f>
        <v>  -   </v>
      </c>
    </row>
    <row r="17" ht="14.25" customHeight="1">
      <c r="A17" s="361" t="str">
        <f>'10.Grain Production details'!A48</f>
        <v> Bajra</v>
      </c>
      <c r="B17" s="361" t="str">
        <f>'10.Grain Production details'!B48</f>
        <v>  -   </v>
      </c>
      <c r="C17" s="361" t="str">
        <f>'10.Grain Production details'!C48</f>
        <v>  -   </v>
      </c>
      <c r="D17" s="361" t="str">
        <f>'10.Grain Production details'!D48</f>
        <v>  -   </v>
      </c>
      <c r="E17" s="361" t="str">
        <f>'10.Grain Production details'!E48</f>
        <v>  -   </v>
      </c>
      <c r="F17" s="361" t="str">
        <f>'10.Grain Production details'!F48</f>
        <v>  -   </v>
      </c>
      <c r="G17" s="361" t="str">
        <f>'10.Grain Production details'!G48</f>
        <v>  -   </v>
      </c>
      <c r="H17" s="361" t="str">
        <f>'10.Grain Production details'!H48</f>
        <v>  -   </v>
      </c>
    </row>
    <row r="18" ht="14.25" customHeight="1">
      <c r="A18" s="361" t="str">
        <f>'10.Grain Production details'!A49</f>
        <v> Jawar</v>
      </c>
      <c r="B18" s="361" t="str">
        <f>'10.Grain Production details'!B49</f>
        <v>  -   </v>
      </c>
      <c r="C18" s="361" t="str">
        <f>'10.Grain Production details'!C49</f>
        <v>  -   </v>
      </c>
      <c r="D18" s="361" t="str">
        <f>'10.Grain Production details'!D49</f>
        <v>  -   </v>
      </c>
      <c r="E18" s="361" t="str">
        <f>'10.Grain Production details'!E49</f>
        <v>  -   </v>
      </c>
      <c r="F18" s="361" t="str">
        <f>'10.Grain Production details'!F49</f>
        <v>  -   </v>
      </c>
      <c r="G18" s="361" t="str">
        <f>'10.Grain Production details'!G49</f>
        <v>  -   </v>
      </c>
      <c r="H18" s="361" t="str">
        <f>'10.Grain Production details'!H49</f>
        <v>  -   </v>
      </c>
    </row>
    <row r="19" ht="14.25" customHeight="1">
      <c r="A19" s="361" t="str">
        <f>'10.Grain Production details'!A50</f>
        <v> Sunflower</v>
      </c>
      <c r="B19" s="361" t="str">
        <f>'10.Grain Production details'!B50</f>
        <v>  -   </v>
      </c>
      <c r="C19" s="361" t="str">
        <f>'10.Grain Production details'!C50</f>
        <v>  -   </v>
      </c>
      <c r="D19" s="361" t="str">
        <f>'10.Grain Production details'!D50</f>
        <v>  -   </v>
      </c>
      <c r="E19" s="361" t="str">
        <f>'10.Grain Production details'!E50</f>
        <v>  -   </v>
      </c>
      <c r="F19" s="361" t="str">
        <f>'10.Grain Production details'!F50</f>
        <v>  -   </v>
      </c>
      <c r="G19" s="361" t="str">
        <f>'10.Grain Production details'!G50</f>
        <v>  -   </v>
      </c>
      <c r="H19" s="361" t="str">
        <f>'10.Grain Production details'!H50</f>
        <v>  -   </v>
      </c>
    </row>
    <row r="20" ht="14.25" customHeight="1">
      <c r="A20" s="361" t="str">
        <f>'10.Grain Production details'!A51</f>
        <v> Wheat</v>
      </c>
      <c r="B20" s="361" t="str">
        <f>'10.Grain Production details'!B51</f>
        <v>  -   </v>
      </c>
      <c r="C20" s="361" t="str">
        <f>'10.Grain Production details'!C51</f>
        <v>  -   </v>
      </c>
      <c r="D20" s="361" t="str">
        <f>'10.Grain Production details'!D51</f>
        <v>  -   </v>
      </c>
      <c r="E20" s="361" t="str">
        <f>'10.Grain Production details'!E51</f>
        <v>  -   </v>
      </c>
      <c r="F20" s="361" t="str">
        <f>'10.Grain Production details'!F51</f>
        <v>  -   </v>
      </c>
      <c r="G20" s="361" t="str">
        <f>'10.Grain Production details'!G51</f>
        <v>  -   </v>
      </c>
      <c r="H20" s="361" t="str">
        <f>'10.Grain Production details'!H51</f>
        <v>  -   </v>
      </c>
    </row>
    <row r="21" ht="14.25" customHeight="1">
      <c r="A21" s="361" t="str">
        <f>'10.Grain Production details'!A52</f>
        <v> Bengal Gram/Channa</v>
      </c>
      <c r="B21" s="361" t="str">
        <f>'10.Grain Production details'!B52</f>
        <v>  -   </v>
      </c>
      <c r="C21" s="361" t="str">
        <f>'10.Grain Production details'!C52</f>
        <v>  -   </v>
      </c>
      <c r="D21" s="361" t="str">
        <f>'10.Grain Production details'!D52</f>
        <v>  -   </v>
      </c>
      <c r="E21" s="361" t="str">
        <f>'10.Grain Production details'!E52</f>
        <v>  -   </v>
      </c>
      <c r="F21" s="361" t="str">
        <f>'10.Grain Production details'!F52</f>
        <v>  -   </v>
      </c>
      <c r="G21" s="361" t="str">
        <f>'10.Grain Production details'!G52</f>
        <v>  -   </v>
      </c>
      <c r="H21" s="361" t="str">
        <f>'10.Grain Production details'!H52</f>
        <v>  -   </v>
      </c>
    </row>
    <row r="22" ht="14.25" customHeight="1">
      <c r="A22" s="361" t="str">
        <f>'10.Grain Production details'!A53</f>
        <v> Jawar</v>
      </c>
      <c r="B22" s="361" t="str">
        <f>'10.Grain Production details'!B53</f>
        <v>  -   </v>
      </c>
      <c r="C22" s="361" t="str">
        <f>'10.Grain Production details'!C53</f>
        <v>  -   </v>
      </c>
      <c r="D22" s="361" t="str">
        <f>'10.Grain Production details'!D53</f>
        <v>  -   </v>
      </c>
      <c r="E22" s="361" t="str">
        <f>'10.Grain Production details'!E53</f>
        <v>  -   </v>
      </c>
      <c r="F22" s="361" t="str">
        <f>'10.Grain Production details'!F53</f>
        <v>  -   </v>
      </c>
      <c r="G22" s="361" t="str">
        <f>'10.Grain Production details'!G53</f>
        <v>  -   </v>
      </c>
      <c r="H22" s="361" t="str">
        <f>'10.Grain Production details'!H53</f>
        <v>  -   </v>
      </c>
    </row>
    <row r="23" ht="14.25" customHeight="1">
      <c r="A23" s="361" t="str">
        <f>'10.Grain Production details'!A54</f>
        <v> Maize</v>
      </c>
      <c r="B23" s="361" t="str">
        <f>'10.Grain Production details'!B54</f>
        <v>  -   </v>
      </c>
      <c r="C23" s="361" t="str">
        <f>'10.Grain Production details'!C54</f>
        <v>  -   </v>
      </c>
      <c r="D23" s="361" t="str">
        <f>'10.Grain Production details'!D54</f>
        <v>  -   </v>
      </c>
      <c r="E23" s="361" t="str">
        <f>'10.Grain Production details'!E54</f>
        <v>  -   </v>
      </c>
      <c r="F23" s="361" t="str">
        <f>'10.Grain Production details'!F54</f>
        <v>  -   </v>
      </c>
      <c r="G23" s="361" t="str">
        <f>'10.Grain Production details'!G54</f>
        <v>  -   </v>
      </c>
      <c r="H23" s="361" t="str">
        <f>'10.Grain Production details'!H54</f>
        <v>  -   </v>
      </c>
    </row>
    <row r="24" ht="14.25" customHeight="1">
      <c r="A24" s="361" t="str">
        <f>'10.Grain Production details'!A55</f>
        <v> Safflower</v>
      </c>
      <c r="B24" s="361" t="str">
        <f>'10.Grain Production details'!B55</f>
        <v>  -   </v>
      </c>
      <c r="C24" s="361" t="str">
        <f>'10.Grain Production details'!C55</f>
        <v>  -   </v>
      </c>
      <c r="D24" s="361" t="str">
        <f>'10.Grain Production details'!D55</f>
        <v>  -   </v>
      </c>
      <c r="E24" s="361" t="str">
        <f>'10.Grain Production details'!E55</f>
        <v>  -   </v>
      </c>
      <c r="F24" s="361" t="str">
        <f>'10.Grain Production details'!F55</f>
        <v>  -   </v>
      </c>
      <c r="G24" s="361" t="str">
        <f>'10.Grain Production details'!G55</f>
        <v>  -   </v>
      </c>
      <c r="H24" s="361" t="str">
        <f>'10.Grain Production details'!H55</f>
        <v>  -   </v>
      </c>
    </row>
    <row r="25" ht="14.25" customHeight="1">
      <c r="A25" s="361" t="str">
        <f>'10.Grain Production details'!A56</f>
        <v/>
      </c>
      <c r="B25" s="361" t="str">
        <f>'10.Grain Production details'!B56</f>
        <v>  -   </v>
      </c>
      <c r="C25" s="361" t="str">
        <f>'10.Grain Production details'!C56</f>
        <v>  -   </v>
      </c>
      <c r="D25" s="361" t="str">
        <f>'10.Grain Production details'!D56</f>
        <v>  -   </v>
      </c>
      <c r="E25" s="361" t="str">
        <f>'10.Grain Production details'!E56</f>
        <v>  -   </v>
      </c>
      <c r="F25" s="361" t="str">
        <f>'10.Grain Production details'!F56</f>
        <v>  -   </v>
      </c>
      <c r="G25" s="361" t="str">
        <f>'10.Grain Production details'!G56</f>
        <v>  -   </v>
      </c>
      <c r="H25" s="361" t="str">
        <f>'10.Grain Production details'!H56</f>
        <v>  -   </v>
      </c>
    </row>
    <row r="26" ht="14.25" customHeight="1">
      <c r="A26" s="361" t="str">
        <f>'10.Grain Production details'!A57</f>
        <v/>
      </c>
      <c r="B26" s="361" t="str">
        <f>'10.Grain Production details'!B57</f>
        <v>  -   </v>
      </c>
      <c r="C26" s="361" t="str">
        <f>'10.Grain Production details'!C57</f>
        <v>  -   </v>
      </c>
      <c r="D26" s="361" t="str">
        <f>'10.Grain Production details'!D57</f>
        <v>  -   </v>
      </c>
      <c r="E26" s="361" t="str">
        <f>'10.Grain Production details'!E57</f>
        <v>  -   </v>
      </c>
      <c r="F26" s="361" t="str">
        <f>'10.Grain Production details'!F57</f>
        <v>  -   </v>
      </c>
      <c r="G26" s="361" t="str">
        <f>'10.Grain Production details'!G57</f>
        <v>  -   </v>
      </c>
      <c r="H26" s="361" t="str">
        <f>'10.Grain Production details'!H57</f>
        <v>  -   </v>
      </c>
    </row>
    <row r="27" ht="14.25" customHeight="1">
      <c r="A27" s="361" t="str">
        <f>'10.Grain Production details'!A58</f>
        <v/>
      </c>
      <c r="B27" s="361" t="str">
        <f>'10.Grain Production details'!B58</f>
        <v>  -   </v>
      </c>
      <c r="C27" s="361" t="str">
        <f>'10.Grain Production details'!C58</f>
        <v>  -   </v>
      </c>
      <c r="D27" s="361" t="str">
        <f>'10.Grain Production details'!D58</f>
        <v>  -   </v>
      </c>
      <c r="E27" s="361" t="str">
        <f>'10.Grain Production details'!E58</f>
        <v>  -   </v>
      </c>
      <c r="F27" s="361" t="str">
        <f>'10.Grain Production details'!F58</f>
        <v>  -   </v>
      </c>
      <c r="G27" s="361" t="str">
        <f>'10.Grain Production details'!G58</f>
        <v>  -   </v>
      </c>
      <c r="H27" s="361" t="str">
        <f>'10.Grain Production details'!H58</f>
        <v>  -   </v>
      </c>
    </row>
    <row r="28" ht="14.25" customHeight="1">
      <c r="A28" s="361" t="str">
        <f>'10.Grain Production details'!A59</f>
        <v> Groundnut</v>
      </c>
      <c r="B28" s="361" t="str">
        <f>'10.Grain Production details'!B59</f>
        <v>  -   </v>
      </c>
      <c r="C28" s="361" t="str">
        <f>'10.Grain Production details'!C59</f>
        <v>  -   </v>
      </c>
      <c r="D28" s="361" t="str">
        <f>'10.Grain Production details'!D59</f>
        <v>  -   </v>
      </c>
      <c r="E28" s="361" t="str">
        <f>'10.Grain Production details'!E59</f>
        <v>  -   </v>
      </c>
      <c r="F28" s="361" t="str">
        <f>'10.Grain Production details'!F59</f>
        <v>  -   </v>
      </c>
      <c r="G28" s="361" t="str">
        <f>'10.Grain Production details'!G59</f>
        <v>  -   </v>
      </c>
      <c r="H28" s="361" t="str">
        <f>'10.Grain Production details'!H59</f>
        <v>  -   </v>
      </c>
    </row>
    <row r="29" ht="14.25" customHeight="1">
      <c r="A29" s="361" t="str">
        <f>'10.Grain Production details'!A60</f>
        <v/>
      </c>
      <c r="B29" s="361" t="str">
        <f>'10.Grain Production details'!B60</f>
        <v>  -   </v>
      </c>
      <c r="C29" s="361" t="str">
        <f>'10.Grain Production details'!C60</f>
        <v>  -   </v>
      </c>
      <c r="D29" s="361" t="str">
        <f>'10.Grain Production details'!D60</f>
        <v>  -   </v>
      </c>
      <c r="E29" s="361" t="str">
        <f>'10.Grain Production details'!E60</f>
        <v>  -   </v>
      </c>
      <c r="F29" s="361" t="str">
        <f>'10.Grain Production details'!F60</f>
        <v>  -   </v>
      </c>
      <c r="G29" s="361" t="str">
        <f>'10.Grain Production details'!G60</f>
        <v>  -   </v>
      </c>
      <c r="H29" s="361" t="str">
        <f>'10.Grain Production details'!H60</f>
        <v>  -   </v>
      </c>
    </row>
    <row r="30" ht="14.25" customHeight="1">
      <c r="A30" s="361" t="str">
        <f>'10.Grain Production details'!A61</f>
        <v/>
      </c>
      <c r="B30" s="361" t="str">
        <f>'10.Grain Production details'!B61</f>
        <v>  -   </v>
      </c>
      <c r="C30" s="361" t="str">
        <f>'10.Grain Production details'!C61</f>
        <v>  -   </v>
      </c>
      <c r="D30" s="361" t="str">
        <f>'10.Grain Production details'!D61</f>
        <v>  -   </v>
      </c>
      <c r="E30" s="361" t="str">
        <f>'10.Grain Production details'!E61</f>
        <v>  -   </v>
      </c>
      <c r="F30" s="361" t="str">
        <f>'10.Grain Production details'!F61</f>
        <v>  -   </v>
      </c>
      <c r="G30" s="361" t="str">
        <f>'10.Grain Production details'!G61</f>
        <v>  -   </v>
      </c>
      <c r="H30" s="361" t="str">
        <f>'10.Grain Production details'!H61</f>
        <v>  -   </v>
      </c>
    </row>
    <row r="31" ht="14.25" customHeight="1">
      <c r="A31" s="361" t="str">
        <f>'10.Grain Production details'!A62</f>
        <v/>
      </c>
      <c r="B31" s="361" t="str">
        <f>'10.Grain Production details'!B62</f>
        <v>  -   </v>
      </c>
      <c r="C31" s="361" t="str">
        <f>'10.Grain Production details'!C62</f>
        <v>  -   </v>
      </c>
      <c r="D31" s="361" t="str">
        <f>'10.Grain Production details'!D62</f>
        <v>  -   </v>
      </c>
      <c r="E31" s="361" t="str">
        <f>'10.Grain Production details'!E62</f>
        <v>  -   </v>
      </c>
      <c r="F31" s="361" t="str">
        <f>'10.Grain Production details'!F62</f>
        <v>  -   </v>
      </c>
      <c r="G31" s="361" t="str">
        <f>'10.Grain Production details'!G62</f>
        <v>  -   </v>
      </c>
      <c r="H31" s="361" t="str">
        <f>'10.Grain Production details'!H62</f>
        <v>  -   </v>
      </c>
    </row>
    <row r="32" ht="14.25" customHeight="1">
      <c r="A32" s="361" t="str">
        <f>'10.Grain Production details'!B63</f>
        <v/>
      </c>
      <c r="B32" s="361" t="str">
        <f>'10.Grain Production details'!C63</f>
        <v/>
      </c>
      <c r="C32" s="361" t="str">
        <f>'10.Grain Production details'!D63</f>
        <v/>
      </c>
      <c r="D32" s="361" t="str">
        <f>'10.Grain Production details'!E63</f>
        <v/>
      </c>
      <c r="E32" s="361" t="str">
        <f>'10.Grain Production details'!F63</f>
        <v/>
      </c>
      <c r="F32" s="361" t="str">
        <f>'10.Grain Production details'!G63</f>
        <v/>
      </c>
      <c r="G32" s="361" t="str">
        <f>'10.Grain Production details'!H63</f>
        <v/>
      </c>
      <c r="H32" s="361" t="str">
        <f>'10.Grain Production details'!I63</f>
        <v/>
      </c>
    </row>
    <row r="33" ht="14.25" customHeight="1">
      <c r="A33" s="117" t="s">
        <v>636</v>
      </c>
      <c r="B33" s="361" t="str">
        <f t="shared" ref="B33:H33" si="2">SUM(B11:B32)</f>
        <v>  -   </v>
      </c>
      <c r="C33" s="361" t="str">
        <f t="shared" si="2"/>
        <v>  -   </v>
      </c>
      <c r="D33" s="361" t="str">
        <f t="shared" si="2"/>
        <v>  -   </v>
      </c>
      <c r="E33" s="361" t="str">
        <f t="shared" si="2"/>
        <v>  -   </v>
      </c>
      <c r="F33" s="361" t="str">
        <f t="shared" si="2"/>
        <v>  -   </v>
      </c>
      <c r="G33" s="361" t="str">
        <f t="shared" si="2"/>
        <v>  -   </v>
      </c>
      <c r="H33" s="361" t="str">
        <f t="shared" si="2"/>
        <v>  -   </v>
      </c>
    </row>
    <row r="34" ht="14.25" customHeight="1">
      <c r="A34" s="361" t="str">
        <f>'11.F&amp;V Crop Production details'!A1:H1</f>
        <v> Fruit  &amp; Vegetables Crop Production Details</v>
      </c>
      <c r="B34" s="361"/>
      <c r="C34" s="361"/>
      <c r="D34" s="361"/>
      <c r="E34" s="361"/>
      <c r="F34" s="361"/>
      <c r="G34" s="361"/>
      <c r="H34" s="361"/>
    </row>
    <row r="35" ht="14.25" customHeight="1">
      <c r="A35" s="361" t="str">
        <f>'11.F&amp;V Crop Production details'!A46</f>
        <v> Onion</v>
      </c>
      <c r="B35" s="361" t="str">
        <f>'11.F&amp;V Crop Production details'!B46</f>
        <v>  -   </v>
      </c>
      <c r="C35" s="361" t="str">
        <f>'11.F&amp;V Crop Production details'!C46</f>
        <v>  -   </v>
      </c>
      <c r="D35" s="361" t="str">
        <f>'11.F&amp;V Crop Production details'!D46</f>
        <v>  -   </v>
      </c>
      <c r="E35" s="361" t="str">
        <f>'11.F&amp;V Crop Production details'!E46</f>
        <v>  -   </v>
      </c>
      <c r="F35" s="361" t="str">
        <f>'11.F&amp;V Crop Production details'!F46</f>
        <v>  -   </v>
      </c>
      <c r="G35" s="361" t="str">
        <f>'11.F&amp;V Crop Production details'!G46</f>
        <v>  -   </v>
      </c>
      <c r="H35" s="361" t="str">
        <f>'11.F&amp;V Crop Production details'!H46</f>
        <v>  -   </v>
      </c>
    </row>
    <row r="36" ht="14.25" customHeight="1">
      <c r="A36" s="361" t="str">
        <f>'11.F&amp;V Crop Production details'!A47</f>
        <v> Tomato</v>
      </c>
      <c r="B36" s="361" t="str">
        <f>'11.F&amp;V Crop Production details'!B47</f>
        <v>  -   </v>
      </c>
      <c r="C36" s="361" t="str">
        <f>'11.F&amp;V Crop Production details'!C47</f>
        <v>  -   </v>
      </c>
      <c r="D36" s="361" t="str">
        <f>'11.F&amp;V Crop Production details'!D47</f>
        <v>  -   </v>
      </c>
      <c r="E36" s="361" t="str">
        <f>'11.F&amp;V Crop Production details'!E47</f>
        <v>  -   </v>
      </c>
      <c r="F36" s="361" t="str">
        <f>'11.F&amp;V Crop Production details'!F47</f>
        <v>  -   </v>
      </c>
      <c r="G36" s="361" t="str">
        <f>'11.F&amp;V Crop Production details'!G47</f>
        <v>  -   </v>
      </c>
      <c r="H36" s="361" t="str">
        <f>'11.F&amp;V Crop Production details'!H47</f>
        <v>  -   </v>
      </c>
    </row>
    <row r="37" ht="14.25" customHeight="1">
      <c r="A37" s="361" t="str">
        <f>'11.F&amp;V Crop Production details'!A48</f>
        <v> Okra</v>
      </c>
      <c r="B37" s="361" t="str">
        <f>'11.F&amp;V Crop Production details'!B48</f>
        <v>  -   </v>
      </c>
      <c r="C37" s="361" t="str">
        <f>'11.F&amp;V Crop Production details'!C48</f>
        <v>  -   </v>
      </c>
      <c r="D37" s="361" t="str">
        <f>'11.F&amp;V Crop Production details'!D48</f>
        <v>  -   </v>
      </c>
      <c r="E37" s="361" t="str">
        <f>'11.F&amp;V Crop Production details'!E48</f>
        <v>  -   </v>
      </c>
      <c r="F37" s="361" t="str">
        <f>'11.F&amp;V Crop Production details'!F48</f>
        <v>  -   </v>
      </c>
      <c r="G37" s="361" t="str">
        <f>'11.F&amp;V Crop Production details'!G48</f>
        <v>  -   </v>
      </c>
      <c r="H37" s="361" t="str">
        <f>'11.F&amp;V Crop Production details'!H48</f>
        <v>  -   </v>
      </c>
    </row>
    <row r="38" ht="14.25" customHeight="1">
      <c r="A38" s="361" t="str">
        <f>'11.F&amp;V Crop Production details'!A49</f>
        <v> Chilli</v>
      </c>
      <c r="B38" s="361" t="str">
        <f>'11.F&amp;V Crop Production details'!B49</f>
        <v>  -   </v>
      </c>
      <c r="C38" s="361" t="str">
        <f>'11.F&amp;V Crop Production details'!C49</f>
        <v>  -   </v>
      </c>
      <c r="D38" s="361" t="str">
        <f>'11.F&amp;V Crop Production details'!D49</f>
        <v>  -   </v>
      </c>
      <c r="E38" s="361" t="str">
        <f>'11.F&amp;V Crop Production details'!E49</f>
        <v>  -   </v>
      </c>
      <c r="F38" s="361" t="str">
        <f>'11.F&amp;V Crop Production details'!F49</f>
        <v>  -   </v>
      </c>
      <c r="G38" s="361" t="str">
        <f>'11.F&amp;V Crop Production details'!G49</f>
        <v>  -   </v>
      </c>
      <c r="H38" s="361" t="str">
        <f>'11.F&amp;V Crop Production details'!H49</f>
        <v>  -   </v>
      </c>
    </row>
    <row r="39" ht="14.25" customHeight="1">
      <c r="A39" s="361" t="str">
        <f>'11.F&amp;V Crop Production details'!A50</f>
        <v> Potato</v>
      </c>
      <c r="B39" s="361" t="str">
        <f>'11.F&amp;V Crop Production details'!B50</f>
        <v>  -   </v>
      </c>
      <c r="C39" s="361" t="str">
        <f>'11.F&amp;V Crop Production details'!C50</f>
        <v>  -   </v>
      </c>
      <c r="D39" s="361" t="str">
        <f>'11.F&amp;V Crop Production details'!D50</f>
        <v>  -   </v>
      </c>
      <c r="E39" s="361" t="str">
        <f>'11.F&amp;V Crop Production details'!E50</f>
        <v>  -   </v>
      </c>
      <c r="F39" s="361" t="str">
        <f>'11.F&amp;V Crop Production details'!F50</f>
        <v>  -   </v>
      </c>
      <c r="G39" s="361" t="str">
        <f>'11.F&amp;V Crop Production details'!G50</f>
        <v>  -   </v>
      </c>
      <c r="H39" s="361" t="str">
        <f>'11.F&amp;V Crop Production details'!H50</f>
        <v>  -   </v>
      </c>
    </row>
    <row r="40" ht="14.25" customHeight="1">
      <c r="A40" s="361" t="str">
        <f>'11.F&amp;V Crop Production details'!A51</f>
        <v/>
      </c>
      <c r="B40" s="361" t="str">
        <f>'11.F&amp;V Crop Production details'!B51</f>
        <v>  -   </v>
      </c>
      <c r="C40" s="361" t="str">
        <f>'11.F&amp;V Crop Production details'!C51</f>
        <v>  -   </v>
      </c>
      <c r="D40" s="361" t="str">
        <f>'11.F&amp;V Crop Production details'!D51</f>
        <v>  -   </v>
      </c>
      <c r="E40" s="361" t="str">
        <f>'11.F&amp;V Crop Production details'!E51</f>
        <v>  -   </v>
      </c>
      <c r="F40" s="361" t="str">
        <f>'11.F&amp;V Crop Production details'!F51</f>
        <v>  -   </v>
      </c>
      <c r="G40" s="361" t="str">
        <f>'11.F&amp;V Crop Production details'!G51</f>
        <v>  -   </v>
      </c>
      <c r="H40" s="361" t="str">
        <f>'11.F&amp;V Crop Production details'!H51</f>
        <v>  -   </v>
      </c>
    </row>
    <row r="41" ht="14.25" customHeight="1">
      <c r="A41" s="361" t="str">
        <f>'11.F&amp;V Crop Production details'!A52</f>
        <v/>
      </c>
      <c r="B41" s="361" t="str">
        <f>'11.F&amp;V Crop Production details'!B52</f>
        <v>  -   </v>
      </c>
      <c r="C41" s="361" t="str">
        <f>'11.F&amp;V Crop Production details'!C52</f>
        <v>  -   </v>
      </c>
      <c r="D41" s="361" t="str">
        <f>'11.F&amp;V Crop Production details'!D52</f>
        <v>  -   </v>
      </c>
      <c r="E41" s="361" t="str">
        <f>'11.F&amp;V Crop Production details'!E52</f>
        <v>  -   </v>
      </c>
      <c r="F41" s="361" t="str">
        <f>'11.F&amp;V Crop Production details'!F52</f>
        <v>  -   </v>
      </c>
      <c r="G41" s="361" t="str">
        <f>'11.F&amp;V Crop Production details'!G52</f>
        <v>  -   </v>
      </c>
      <c r="H41" s="361" t="str">
        <f>'11.F&amp;V Crop Production details'!H52</f>
        <v>  -   </v>
      </c>
    </row>
    <row r="42" ht="14.25" customHeight="1">
      <c r="A42" s="361" t="str">
        <f>'11.F&amp;V Crop Production details'!A53</f>
        <v/>
      </c>
      <c r="B42" s="361" t="str">
        <f>'11.F&amp;V Crop Production details'!B53</f>
        <v>  -   </v>
      </c>
      <c r="C42" s="361" t="str">
        <f>'11.F&amp;V Crop Production details'!C53</f>
        <v>  -   </v>
      </c>
      <c r="D42" s="361" t="str">
        <f>'11.F&amp;V Crop Production details'!D53</f>
        <v>  -   </v>
      </c>
      <c r="E42" s="361" t="str">
        <f>'11.F&amp;V Crop Production details'!E53</f>
        <v>  -   </v>
      </c>
      <c r="F42" s="361" t="str">
        <f>'11.F&amp;V Crop Production details'!F53</f>
        <v>  -   </v>
      </c>
      <c r="G42" s="361" t="str">
        <f>'11.F&amp;V Crop Production details'!G53</f>
        <v>  -   </v>
      </c>
      <c r="H42" s="361" t="str">
        <f>'11.F&amp;V Crop Production details'!H53</f>
        <v>  -   </v>
      </c>
    </row>
    <row r="43" ht="14.25" customHeight="1">
      <c r="A43" s="361" t="str">
        <f>'11.F&amp;V Crop Production details'!A54</f>
        <v/>
      </c>
      <c r="B43" s="361" t="str">
        <f>'11.F&amp;V Crop Production details'!B54</f>
        <v>  -   </v>
      </c>
      <c r="C43" s="361" t="str">
        <f>'11.F&amp;V Crop Production details'!C54</f>
        <v>  -   </v>
      </c>
      <c r="D43" s="361" t="str">
        <f>'11.F&amp;V Crop Production details'!D54</f>
        <v>  -   </v>
      </c>
      <c r="E43" s="361" t="str">
        <f>'11.F&amp;V Crop Production details'!E54</f>
        <v>  -   </v>
      </c>
      <c r="F43" s="361" t="str">
        <f>'11.F&amp;V Crop Production details'!F54</f>
        <v>  -   </v>
      </c>
      <c r="G43" s="361" t="str">
        <f>'11.F&amp;V Crop Production details'!G54</f>
        <v>  -   </v>
      </c>
      <c r="H43" s="361" t="str">
        <f>'11.F&amp;V Crop Production details'!H54</f>
        <v>  -   </v>
      </c>
    </row>
    <row r="44" ht="14.25" customHeight="1">
      <c r="A44" s="361" t="str">
        <f>'11.F&amp;V Crop Production details'!A55</f>
        <v> Onion</v>
      </c>
      <c r="B44" s="361" t="str">
        <f>'11.F&amp;V Crop Production details'!B55</f>
        <v>  -   </v>
      </c>
      <c r="C44" s="361" t="str">
        <f>'11.F&amp;V Crop Production details'!C55</f>
        <v>  -   </v>
      </c>
      <c r="D44" s="361" t="str">
        <f>'11.F&amp;V Crop Production details'!D55</f>
        <v>  -   </v>
      </c>
      <c r="E44" s="361" t="str">
        <f>'11.F&amp;V Crop Production details'!E55</f>
        <v>  -   </v>
      </c>
      <c r="F44" s="361" t="str">
        <f>'11.F&amp;V Crop Production details'!F55</f>
        <v>  -   </v>
      </c>
      <c r="G44" s="361" t="str">
        <f>'11.F&amp;V Crop Production details'!G55</f>
        <v>  -   </v>
      </c>
      <c r="H44" s="361" t="str">
        <f>'11.F&amp;V Crop Production details'!H55</f>
        <v>  -   </v>
      </c>
    </row>
    <row r="45" ht="14.25" customHeight="1">
      <c r="A45" s="361" t="str">
        <f>'11.F&amp;V Crop Production details'!A56</f>
        <v> Tomato</v>
      </c>
      <c r="B45" s="361" t="str">
        <f>'11.F&amp;V Crop Production details'!B56</f>
        <v>  -   </v>
      </c>
      <c r="C45" s="361" t="str">
        <f>'11.F&amp;V Crop Production details'!C56</f>
        <v>  -   </v>
      </c>
      <c r="D45" s="361" t="str">
        <f>'11.F&amp;V Crop Production details'!D56</f>
        <v>  -   </v>
      </c>
      <c r="E45" s="361" t="str">
        <f>'11.F&amp;V Crop Production details'!E56</f>
        <v>  -   </v>
      </c>
      <c r="F45" s="361" t="str">
        <f>'11.F&amp;V Crop Production details'!F56</f>
        <v>  -   </v>
      </c>
      <c r="G45" s="361" t="str">
        <f>'11.F&amp;V Crop Production details'!G56</f>
        <v>  -   </v>
      </c>
      <c r="H45" s="361" t="str">
        <f>'11.F&amp;V Crop Production details'!H56</f>
        <v>  -   </v>
      </c>
    </row>
    <row r="46" ht="14.25" customHeight="1">
      <c r="A46" s="361" t="str">
        <f>'11.F&amp;V Crop Production details'!A57</f>
        <v> Okra</v>
      </c>
      <c r="B46" s="361" t="str">
        <f>'11.F&amp;V Crop Production details'!B57</f>
        <v>  -   </v>
      </c>
      <c r="C46" s="361" t="str">
        <f>'11.F&amp;V Crop Production details'!C57</f>
        <v>  -   </v>
      </c>
      <c r="D46" s="361" t="str">
        <f>'11.F&amp;V Crop Production details'!D57</f>
        <v>  -   </v>
      </c>
      <c r="E46" s="361" t="str">
        <f>'11.F&amp;V Crop Production details'!E57</f>
        <v>  -   </v>
      </c>
      <c r="F46" s="361" t="str">
        <f>'11.F&amp;V Crop Production details'!F57</f>
        <v>  -   </v>
      </c>
      <c r="G46" s="361" t="str">
        <f>'11.F&amp;V Crop Production details'!G57</f>
        <v>  -   </v>
      </c>
      <c r="H46" s="361" t="str">
        <f>'11.F&amp;V Crop Production details'!H57</f>
        <v>  -   </v>
      </c>
    </row>
    <row r="47" ht="14.25" customHeight="1">
      <c r="A47" s="361" t="str">
        <f>'11.F&amp;V Crop Production details'!A58</f>
        <v> Chilli</v>
      </c>
      <c r="B47" s="361" t="str">
        <f>'11.F&amp;V Crop Production details'!B58</f>
        <v>  -   </v>
      </c>
      <c r="C47" s="361" t="str">
        <f>'11.F&amp;V Crop Production details'!C58</f>
        <v>  -   </v>
      </c>
      <c r="D47" s="361" t="str">
        <f>'11.F&amp;V Crop Production details'!D58</f>
        <v>  -   </v>
      </c>
      <c r="E47" s="361" t="str">
        <f>'11.F&amp;V Crop Production details'!E58</f>
        <v>  -   </v>
      </c>
      <c r="F47" s="361" t="str">
        <f>'11.F&amp;V Crop Production details'!F58</f>
        <v>  -   </v>
      </c>
      <c r="G47" s="361" t="str">
        <f>'11.F&amp;V Crop Production details'!G58</f>
        <v>  -   </v>
      </c>
      <c r="H47" s="361" t="str">
        <f>'11.F&amp;V Crop Production details'!H58</f>
        <v>  -   </v>
      </c>
    </row>
    <row r="48" ht="14.25" customHeight="1">
      <c r="A48" s="361" t="str">
        <f>'11.F&amp;V Crop Production details'!A59</f>
        <v> Brinjal</v>
      </c>
      <c r="B48" s="361" t="str">
        <f>'11.F&amp;V Crop Production details'!B59</f>
        <v>  -   </v>
      </c>
      <c r="C48" s="361" t="str">
        <f>'11.F&amp;V Crop Production details'!C59</f>
        <v>  -   </v>
      </c>
      <c r="D48" s="361" t="str">
        <f>'11.F&amp;V Crop Production details'!D59</f>
        <v>  -   </v>
      </c>
      <c r="E48" s="361" t="str">
        <f>'11.F&amp;V Crop Production details'!E59</f>
        <v>  -   </v>
      </c>
      <c r="F48" s="361" t="str">
        <f>'11.F&amp;V Crop Production details'!F59</f>
        <v>  -   </v>
      </c>
      <c r="G48" s="361" t="str">
        <f>'11.F&amp;V Crop Production details'!G59</f>
        <v>  -   </v>
      </c>
      <c r="H48" s="361" t="str">
        <f>'11.F&amp;V Crop Production details'!H59</f>
        <v>  -   </v>
      </c>
    </row>
    <row r="49" ht="14.25" customHeight="1">
      <c r="A49" s="361" t="str">
        <f>'11.F&amp;V Crop Production details'!A60</f>
        <v/>
      </c>
      <c r="B49" s="361" t="str">
        <f>'11.F&amp;V Crop Production details'!B60</f>
        <v>  -   </v>
      </c>
      <c r="C49" s="361" t="str">
        <f>'11.F&amp;V Crop Production details'!C60</f>
        <v>  -   </v>
      </c>
      <c r="D49" s="361" t="str">
        <f>'11.F&amp;V Crop Production details'!D60</f>
        <v>  -   </v>
      </c>
      <c r="E49" s="361" t="str">
        <f>'11.F&amp;V Crop Production details'!E60</f>
        <v>  -   </v>
      </c>
      <c r="F49" s="361" t="str">
        <f>'11.F&amp;V Crop Production details'!F60</f>
        <v>  -   </v>
      </c>
      <c r="G49" s="361" t="str">
        <f>'11.F&amp;V Crop Production details'!G60</f>
        <v>  -   </v>
      </c>
      <c r="H49" s="361" t="str">
        <f>'11.F&amp;V Crop Production details'!H60</f>
        <v>  -   </v>
      </c>
    </row>
    <row r="50" ht="14.25" customHeight="1">
      <c r="A50" s="361" t="str">
        <f>'11.F&amp;V Crop Production details'!A61</f>
        <v/>
      </c>
      <c r="B50" s="361" t="str">
        <f>'11.F&amp;V Crop Production details'!B61</f>
        <v>  -   </v>
      </c>
      <c r="C50" s="361" t="str">
        <f>'11.F&amp;V Crop Production details'!C61</f>
        <v>  -   </v>
      </c>
      <c r="D50" s="361" t="str">
        <f>'11.F&amp;V Crop Production details'!D61</f>
        <v>  -   </v>
      </c>
      <c r="E50" s="361" t="str">
        <f>'11.F&amp;V Crop Production details'!E61</f>
        <v>  -   </v>
      </c>
      <c r="F50" s="361" t="str">
        <f>'11.F&amp;V Crop Production details'!F61</f>
        <v>  -   </v>
      </c>
      <c r="G50" s="361" t="str">
        <f>'11.F&amp;V Crop Production details'!G61</f>
        <v>  -   </v>
      </c>
      <c r="H50" s="361" t="str">
        <f>'11.F&amp;V Crop Production details'!H61</f>
        <v>  -   </v>
      </c>
    </row>
    <row r="51" ht="14.25" customHeight="1">
      <c r="A51" s="361" t="str">
        <f>'11.F&amp;V Crop Production details'!A62</f>
        <v/>
      </c>
      <c r="B51" s="361" t="str">
        <f>'11.F&amp;V Crop Production details'!B62</f>
        <v>  -   </v>
      </c>
      <c r="C51" s="361" t="str">
        <f>'11.F&amp;V Crop Production details'!C62</f>
        <v>  -   </v>
      </c>
      <c r="D51" s="361" t="str">
        <f>'11.F&amp;V Crop Production details'!D62</f>
        <v>  -   </v>
      </c>
      <c r="E51" s="361" t="str">
        <f>'11.F&amp;V Crop Production details'!E62</f>
        <v>  -   </v>
      </c>
      <c r="F51" s="361" t="str">
        <f>'11.F&amp;V Crop Production details'!F62</f>
        <v>  -   </v>
      </c>
      <c r="G51" s="361" t="str">
        <f>'11.F&amp;V Crop Production details'!G62</f>
        <v>  -   </v>
      </c>
      <c r="H51" s="361" t="str">
        <f>'11.F&amp;V Crop Production details'!H62</f>
        <v>  -   </v>
      </c>
    </row>
    <row r="52" ht="14.25" customHeight="1">
      <c r="A52" s="361" t="str">
        <f>'11.F&amp;V Crop Production details'!A63</f>
        <v/>
      </c>
      <c r="B52" s="361" t="str">
        <f>'11.F&amp;V Crop Production details'!B63</f>
        <v>  -   </v>
      </c>
      <c r="C52" s="361" t="str">
        <f>'11.F&amp;V Crop Production details'!C63</f>
        <v>  -   </v>
      </c>
      <c r="D52" s="361" t="str">
        <f>'11.F&amp;V Crop Production details'!D63</f>
        <v>  -   </v>
      </c>
      <c r="E52" s="361" t="str">
        <f>'11.F&amp;V Crop Production details'!E63</f>
        <v>  -   </v>
      </c>
      <c r="F52" s="361" t="str">
        <f>'11.F&amp;V Crop Production details'!F63</f>
        <v>  -   </v>
      </c>
      <c r="G52" s="361" t="str">
        <f>'11.F&amp;V Crop Production details'!G63</f>
        <v>  -   </v>
      </c>
      <c r="H52" s="361" t="str">
        <f>'11.F&amp;V Crop Production details'!H63</f>
        <v>  -   </v>
      </c>
    </row>
    <row r="53" ht="14.25" customHeight="1">
      <c r="A53" s="361" t="str">
        <f>'11.F&amp;V Crop Production details'!A64</f>
        <v/>
      </c>
      <c r="B53" s="361"/>
      <c r="C53" s="361"/>
      <c r="D53" s="361"/>
      <c r="E53" s="361"/>
      <c r="F53" s="361"/>
      <c r="G53" s="361"/>
      <c r="H53" s="361"/>
    </row>
    <row r="54" ht="14.25" customHeight="1">
      <c r="A54" s="361" t="str">
        <f>'11.F&amp;V Crop Production details'!A65</f>
        <v/>
      </c>
      <c r="B54" s="361"/>
      <c r="C54" s="361"/>
      <c r="D54" s="361"/>
      <c r="E54" s="361"/>
      <c r="F54" s="361"/>
      <c r="G54" s="361"/>
      <c r="H54" s="361"/>
    </row>
    <row r="55" ht="14.25" customHeight="1">
      <c r="A55" s="361" t="str">
        <f>'11.F&amp;V Crop Production details'!A66</f>
        <v/>
      </c>
      <c r="B55" s="361"/>
      <c r="C55" s="361"/>
      <c r="D55" s="361"/>
      <c r="E55" s="361"/>
      <c r="F55" s="361"/>
      <c r="G55" s="361"/>
      <c r="H55" s="361"/>
    </row>
    <row r="56" ht="14.25" customHeight="1">
      <c r="A56" s="361" t="str">
        <f>'11.F&amp;V Crop Production details'!A67</f>
        <v> Pomegranate</v>
      </c>
      <c r="B56" s="361" t="str">
        <f>'11.F&amp;V Crop Production details'!B67</f>
        <v>  -   </v>
      </c>
      <c r="C56" s="361" t="str">
        <f>'11.F&amp;V Crop Production details'!C67</f>
        <v>  -   </v>
      </c>
      <c r="D56" s="361" t="str">
        <f>'11.F&amp;V Crop Production details'!D67</f>
        <v>  -   </v>
      </c>
      <c r="E56" s="361" t="str">
        <f>'11.F&amp;V Crop Production details'!E67</f>
        <v>  -   </v>
      </c>
      <c r="F56" s="361" t="str">
        <f>'11.F&amp;V Crop Production details'!F67</f>
        <v>  -   </v>
      </c>
      <c r="G56" s="361" t="str">
        <f>'11.F&amp;V Crop Production details'!G67</f>
        <v>  -   </v>
      </c>
      <c r="H56" s="361" t="str">
        <f>'11.F&amp;V Crop Production details'!H67</f>
        <v>  -   </v>
      </c>
    </row>
    <row r="57" ht="14.25" customHeight="1">
      <c r="A57" s="361" t="str">
        <f>'11.F&amp;V Crop Production details'!A68</f>
        <v> Custard Apple</v>
      </c>
      <c r="B57" s="361" t="str">
        <f>'11.F&amp;V Crop Production details'!B68</f>
        <v>  -   </v>
      </c>
      <c r="C57" s="361" t="str">
        <f>'11.F&amp;V Crop Production details'!C68</f>
        <v>  -   </v>
      </c>
      <c r="D57" s="361" t="str">
        <f>'11.F&amp;V Crop Production details'!D68</f>
        <v>  -   </v>
      </c>
      <c r="E57" s="361" t="str">
        <f>'11.F&amp;V Crop Production details'!E68</f>
        <v>  -   </v>
      </c>
      <c r="F57" s="361" t="str">
        <f>'11.F&amp;V Crop Production details'!F68</f>
        <v>  -   </v>
      </c>
      <c r="G57" s="361" t="str">
        <f>'11.F&amp;V Crop Production details'!G68</f>
        <v>  -   </v>
      </c>
      <c r="H57" s="361" t="str">
        <f>'11.F&amp;V Crop Production details'!H68</f>
        <v>  -   </v>
      </c>
    </row>
    <row r="58" ht="14.25" customHeight="1">
      <c r="A58" s="361" t="str">
        <f>'11.F&amp;V Crop Production details'!A69</f>
        <v> Guava</v>
      </c>
      <c r="B58" s="361" t="str">
        <f>'11.F&amp;V Crop Production details'!B69</f>
        <v>  -   </v>
      </c>
      <c r="C58" s="361" t="str">
        <f>'11.F&amp;V Crop Production details'!C69</f>
        <v>  -   </v>
      </c>
      <c r="D58" s="361" t="str">
        <f>'11.F&amp;V Crop Production details'!D69</f>
        <v>  -   </v>
      </c>
      <c r="E58" s="361" t="str">
        <f>'11.F&amp;V Crop Production details'!E69</f>
        <v>  -   </v>
      </c>
      <c r="F58" s="361" t="str">
        <f>'11.F&amp;V Crop Production details'!F69</f>
        <v>  -   </v>
      </c>
      <c r="G58" s="361" t="str">
        <f>'11.F&amp;V Crop Production details'!G69</f>
        <v>  -   </v>
      </c>
      <c r="H58" s="361" t="str">
        <f>'11.F&amp;V Crop Production details'!H69</f>
        <v>  -   </v>
      </c>
    </row>
    <row r="59" ht="14.25" customHeight="1">
      <c r="A59" s="361" t="str">
        <f>'11.F&amp;V Crop Production details'!A70</f>
        <v> Citrus</v>
      </c>
      <c r="B59" s="361" t="str">
        <f>'11.F&amp;V Crop Production details'!B70</f>
        <v>  -   </v>
      </c>
      <c r="C59" s="361" t="str">
        <f>'11.F&amp;V Crop Production details'!C70</f>
        <v>  -   </v>
      </c>
      <c r="D59" s="361" t="str">
        <f>'11.F&amp;V Crop Production details'!D70</f>
        <v>  -   </v>
      </c>
      <c r="E59" s="361" t="str">
        <f>'11.F&amp;V Crop Production details'!E70</f>
        <v>  -   </v>
      </c>
      <c r="F59" s="361" t="str">
        <f>'11.F&amp;V Crop Production details'!F70</f>
        <v>  -   </v>
      </c>
      <c r="G59" s="361" t="str">
        <f>'11.F&amp;V Crop Production details'!G70</f>
        <v>  -   </v>
      </c>
      <c r="H59" s="361" t="str">
        <f>'11.F&amp;V Crop Production details'!H70</f>
        <v>  -   </v>
      </c>
    </row>
    <row r="60" ht="14.25" customHeight="1">
      <c r="A60" s="361"/>
      <c r="B60" s="361"/>
      <c r="C60" s="361"/>
      <c r="D60" s="361"/>
      <c r="E60" s="361"/>
      <c r="F60" s="361"/>
      <c r="G60" s="361"/>
      <c r="H60" s="361"/>
    </row>
    <row r="61" ht="14.25" customHeight="1">
      <c r="A61" s="117" t="s">
        <v>637</v>
      </c>
      <c r="B61" s="361" t="str">
        <f t="shared" ref="B61:H61" si="3">SUM(B35:B59)</f>
        <v>  -   </v>
      </c>
      <c r="C61" s="361" t="str">
        <f t="shared" si="3"/>
        <v>  -   </v>
      </c>
      <c r="D61" s="361" t="str">
        <f t="shared" si="3"/>
        <v>  -   </v>
      </c>
      <c r="E61" s="361" t="str">
        <f t="shared" si="3"/>
        <v>  -   </v>
      </c>
      <c r="F61" s="361" t="str">
        <f t="shared" si="3"/>
        <v>  -   </v>
      </c>
      <c r="G61" s="361" t="str">
        <f t="shared" si="3"/>
        <v>  -   </v>
      </c>
      <c r="H61" s="361" t="str">
        <f t="shared" si="3"/>
        <v>  -   </v>
      </c>
    </row>
    <row r="62" ht="14.25" customHeight="1">
      <c r="A62" s="362" t="s">
        <v>638</v>
      </c>
      <c r="B62" s="363">
        <v>0.5</v>
      </c>
      <c r="C62" s="363" t="str">
        <f t="shared" ref="C62:H62" si="4">B62</f>
        <v>50%</v>
      </c>
      <c r="D62" s="363" t="str">
        <f t="shared" si="4"/>
        <v>50%</v>
      </c>
      <c r="E62" s="363" t="str">
        <f t="shared" si="4"/>
        <v>50%</v>
      </c>
      <c r="F62" s="363" t="str">
        <f t="shared" si="4"/>
        <v>50%</v>
      </c>
      <c r="G62" s="363" t="str">
        <f t="shared" si="4"/>
        <v>50%</v>
      </c>
      <c r="H62" s="363" t="str">
        <f t="shared" si="4"/>
        <v>50%</v>
      </c>
    </row>
    <row r="63" ht="14.25" customHeight="1">
      <c r="A63" s="362" t="s">
        <v>639</v>
      </c>
      <c r="B63" s="363" t="str">
        <f t="shared" ref="B63:H63" si="5">1-B62</f>
        <v>50%</v>
      </c>
      <c r="C63" s="363" t="str">
        <f t="shared" si="5"/>
        <v>50%</v>
      </c>
      <c r="D63" s="363" t="str">
        <f t="shared" si="5"/>
        <v>50%</v>
      </c>
      <c r="E63" s="363" t="str">
        <f t="shared" si="5"/>
        <v>50%</v>
      </c>
      <c r="F63" s="363" t="str">
        <f t="shared" si="5"/>
        <v>50%</v>
      </c>
      <c r="G63" s="363" t="str">
        <f t="shared" si="5"/>
        <v>50%</v>
      </c>
      <c r="H63" s="363" t="str">
        <f t="shared" si="5"/>
        <v>50%</v>
      </c>
    </row>
    <row r="64" ht="14.25" customHeight="1">
      <c r="A64" s="362"/>
      <c r="B64" s="363"/>
      <c r="C64" s="363"/>
      <c r="D64" s="363"/>
      <c r="E64" s="363"/>
      <c r="F64" s="363"/>
      <c r="G64" s="363"/>
      <c r="H64" s="363"/>
    </row>
    <row r="65" ht="14.25" customHeight="1">
      <c r="A65" s="362" t="s">
        <v>640</v>
      </c>
      <c r="B65" s="364" t="str">
        <f t="shared" ref="B65:H65" si="6">B33*B62</f>
        <v>  -   </v>
      </c>
      <c r="C65" s="364" t="str">
        <f t="shared" si="6"/>
        <v>  -   </v>
      </c>
      <c r="D65" s="364" t="str">
        <f t="shared" si="6"/>
        <v>  -   </v>
      </c>
      <c r="E65" s="364" t="str">
        <f t="shared" si="6"/>
        <v>  -   </v>
      </c>
      <c r="F65" s="364" t="str">
        <f t="shared" si="6"/>
        <v>  -   </v>
      </c>
      <c r="G65" s="364" t="str">
        <f t="shared" si="6"/>
        <v>  -   </v>
      </c>
      <c r="H65" s="364" t="str">
        <f t="shared" si="6"/>
        <v>  -   </v>
      </c>
    </row>
    <row r="66" ht="14.25" customHeight="1">
      <c r="A66" s="117"/>
      <c r="B66" s="361"/>
      <c r="C66" s="361"/>
      <c r="D66" s="361"/>
      <c r="E66" s="361"/>
      <c r="F66" s="361"/>
      <c r="G66" s="361"/>
      <c r="H66" s="361"/>
    </row>
    <row r="67" ht="14.25" customHeight="1">
      <c r="A67" s="117" t="s">
        <v>641</v>
      </c>
      <c r="B67" s="361"/>
      <c r="C67" s="361"/>
      <c r="D67" s="361"/>
      <c r="E67" s="361"/>
      <c r="F67" s="361"/>
      <c r="G67" s="361"/>
      <c r="H67" s="361"/>
    </row>
    <row r="68" ht="14.25" customHeight="1">
      <c r="A68" s="365" t="str">
        <f t="shared" ref="A68:A89" si="7">A11</f>
        <v> Soybean</v>
      </c>
      <c r="B68" s="365" t="str">
        <f t="shared" ref="B68:B89" si="8">B11*$B$63</f>
        <v>  -   </v>
      </c>
      <c r="C68" s="365" t="str">
        <f t="shared" ref="C68:C83" si="9">C11*$C$63</f>
        <v>  -   </v>
      </c>
      <c r="D68" s="365" t="str">
        <f t="shared" ref="D68:D83" si="10">D11*$D$63</f>
        <v>  -   </v>
      </c>
      <c r="E68" s="365" t="str">
        <f t="shared" ref="E68:E83" si="11">E11*$E$63</f>
        <v>  -   </v>
      </c>
      <c r="F68" s="365" t="str">
        <f t="shared" ref="F68:F83" si="12">F11*$F$63</f>
        <v>  -   </v>
      </c>
      <c r="G68" s="365" t="str">
        <f t="shared" ref="G68:G83" si="13">G11*$G$63</f>
        <v>  -   </v>
      </c>
      <c r="H68" s="365" t="str">
        <f t="shared" ref="H68:H83" si="14">H11*$H$63</f>
        <v>  -   </v>
      </c>
    </row>
    <row r="69" ht="14.25" customHeight="1">
      <c r="A69" s="365" t="str">
        <f t="shared" si="7"/>
        <v> Red Gram/Tur</v>
      </c>
      <c r="B69" s="365" t="str">
        <f t="shared" si="8"/>
        <v>  -   </v>
      </c>
      <c r="C69" s="365" t="str">
        <f t="shared" si="9"/>
        <v>  -   </v>
      </c>
      <c r="D69" s="365" t="str">
        <f t="shared" si="10"/>
        <v>  -   </v>
      </c>
      <c r="E69" s="365" t="str">
        <f t="shared" si="11"/>
        <v>  -   </v>
      </c>
      <c r="F69" s="365" t="str">
        <f t="shared" si="12"/>
        <v>  -   </v>
      </c>
      <c r="G69" s="365" t="str">
        <f t="shared" si="13"/>
        <v>  -   </v>
      </c>
      <c r="H69" s="365" t="str">
        <f t="shared" si="14"/>
        <v>  -   </v>
      </c>
    </row>
    <row r="70" ht="14.25" customHeight="1">
      <c r="A70" s="365" t="str">
        <f t="shared" si="7"/>
        <v> Paddy/Rice</v>
      </c>
      <c r="B70" s="365" t="str">
        <f t="shared" si="8"/>
        <v>  -   </v>
      </c>
      <c r="C70" s="365" t="str">
        <f t="shared" si="9"/>
        <v>  -   </v>
      </c>
      <c r="D70" s="365" t="str">
        <f t="shared" si="10"/>
        <v>  -   </v>
      </c>
      <c r="E70" s="365" t="str">
        <f t="shared" si="11"/>
        <v>  -   </v>
      </c>
      <c r="F70" s="365" t="str">
        <f t="shared" si="12"/>
        <v>  -   </v>
      </c>
      <c r="G70" s="365" t="str">
        <f t="shared" si="13"/>
        <v>  -   </v>
      </c>
      <c r="H70" s="365" t="str">
        <f t="shared" si="14"/>
        <v>  -   </v>
      </c>
    </row>
    <row r="71" ht="14.25" customHeight="1">
      <c r="A71" s="365" t="str">
        <f t="shared" si="7"/>
        <v> Green Gram/ Moong</v>
      </c>
      <c r="B71" s="365" t="str">
        <f t="shared" si="8"/>
        <v>  -   </v>
      </c>
      <c r="C71" s="365" t="str">
        <f t="shared" si="9"/>
        <v>  -   </v>
      </c>
      <c r="D71" s="365" t="str">
        <f t="shared" si="10"/>
        <v>  -   </v>
      </c>
      <c r="E71" s="365" t="str">
        <f t="shared" si="11"/>
        <v>  -   </v>
      </c>
      <c r="F71" s="365" t="str">
        <f t="shared" si="12"/>
        <v>  -   </v>
      </c>
      <c r="G71" s="365" t="str">
        <f t="shared" si="13"/>
        <v>  -   </v>
      </c>
      <c r="H71" s="365" t="str">
        <f t="shared" si="14"/>
        <v>  -   </v>
      </c>
    </row>
    <row r="72" ht="14.25" customHeight="1">
      <c r="A72" s="365" t="str">
        <f t="shared" si="7"/>
        <v> Maize</v>
      </c>
      <c r="B72" s="365" t="str">
        <f t="shared" si="8"/>
        <v>  -   </v>
      </c>
      <c r="C72" s="365" t="str">
        <f t="shared" si="9"/>
        <v>  -   </v>
      </c>
      <c r="D72" s="365" t="str">
        <f t="shared" si="10"/>
        <v>  -   </v>
      </c>
      <c r="E72" s="365" t="str">
        <f t="shared" si="11"/>
        <v>  -   </v>
      </c>
      <c r="F72" s="365" t="str">
        <f t="shared" si="12"/>
        <v>  -   </v>
      </c>
      <c r="G72" s="365" t="str">
        <f t="shared" si="13"/>
        <v>  -   </v>
      </c>
      <c r="H72" s="365" t="str">
        <f t="shared" si="14"/>
        <v>  -   </v>
      </c>
    </row>
    <row r="73" ht="14.25" customHeight="1">
      <c r="A73" s="365" t="str">
        <f t="shared" si="7"/>
        <v> Black Gram/Udid</v>
      </c>
      <c r="B73" s="365" t="str">
        <f t="shared" si="8"/>
        <v>  -   </v>
      </c>
      <c r="C73" s="365" t="str">
        <f t="shared" si="9"/>
        <v>  -   </v>
      </c>
      <c r="D73" s="365" t="str">
        <f t="shared" si="10"/>
        <v>  -   </v>
      </c>
      <c r="E73" s="365" t="str">
        <f t="shared" si="11"/>
        <v>  -   </v>
      </c>
      <c r="F73" s="365" t="str">
        <f t="shared" si="12"/>
        <v>  -   </v>
      </c>
      <c r="G73" s="365" t="str">
        <f t="shared" si="13"/>
        <v>  -   </v>
      </c>
      <c r="H73" s="365" t="str">
        <f t="shared" si="14"/>
        <v>  -   </v>
      </c>
    </row>
    <row r="74" ht="14.25" customHeight="1">
      <c r="A74" s="365" t="str">
        <f t="shared" si="7"/>
        <v> Bajra</v>
      </c>
      <c r="B74" s="365" t="str">
        <f t="shared" si="8"/>
        <v>  -   </v>
      </c>
      <c r="C74" s="365" t="str">
        <f t="shared" si="9"/>
        <v>  -   </v>
      </c>
      <c r="D74" s="365" t="str">
        <f t="shared" si="10"/>
        <v>  -   </v>
      </c>
      <c r="E74" s="365" t="str">
        <f t="shared" si="11"/>
        <v>  -   </v>
      </c>
      <c r="F74" s="365" t="str">
        <f t="shared" si="12"/>
        <v>  -   </v>
      </c>
      <c r="G74" s="365" t="str">
        <f t="shared" si="13"/>
        <v>  -   </v>
      </c>
      <c r="H74" s="365" t="str">
        <f t="shared" si="14"/>
        <v>  -   </v>
      </c>
    </row>
    <row r="75" ht="14.25" customHeight="1">
      <c r="A75" s="365" t="str">
        <f t="shared" si="7"/>
        <v> Jawar</v>
      </c>
      <c r="B75" s="365" t="str">
        <f t="shared" si="8"/>
        <v>  -   </v>
      </c>
      <c r="C75" s="365" t="str">
        <f t="shared" si="9"/>
        <v>  -   </v>
      </c>
      <c r="D75" s="365" t="str">
        <f t="shared" si="10"/>
        <v>  -   </v>
      </c>
      <c r="E75" s="365" t="str">
        <f t="shared" si="11"/>
        <v>  -   </v>
      </c>
      <c r="F75" s="365" t="str">
        <f t="shared" si="12"/>
        <v>  -   </v>
      </c>
      <c r="G75" s="365" t="str">
        <f t="shared" si="13"/>
        <v>  -   </v>
      </c>
      <c r="H75" s="365" t="str">
        <f t="shared" si="14"/>
        <v>  -   </v>
      </c>
    </row>
    <row r="76" ht="14.25" customHeight="1">
      <c r="A76" s="365" t="str">
        <f t="shared" si="7"/>
        <v> Sunflower</v>
      </c>
      <c r="B76" s="365" t="str">
        <f t="shared" si="8"/>
        <v>  -   </v>
      </c>
      <c r="C76" s="365" t="str">
        <f t="shared" si="9"/>
        <v>  -   </v>
      </c>
      <c r="D76" s="365" t="str">
        <f t="shared" si="10"/>
        <v>  -   </v>
      </c>
      <c r="E76" s="365" t="str">
        <f t="shared" si="11"/>
        <v>  -   </v>
      </c>
      <c r="F76" s="365" t="str">
        <f t="shared" si="12"/>
        <v>  -   </v>
      </c>
      <c r="G76" s="365" t="str">
        <f t="shared" si="13"/>
        <v>  -   </v>
      </c>
      <c r="H76" s="365" t="str">
        <f t="shared" si="14"/>
        <v>  -   </v>
      </c>
    </row>
    <row r="77" ht="14.25" customHeight="1">
      <c r="A77" s="365" t="str">
        <f t="shared" si="7"/>
        <v> Wheat</v>
      </c>
      <c r="B77" s="365" t="str">
        <f t="shared" si="8"/>
        <v>  -   </v>
      </c>
      <c r="C77" s="365" t="str">
        <f t="shared" si="9"/>
        <v>  -   </v>
      </c>
      <c r="D77" s="365" t="str">
        <f t="shared" si="10"/>
        <v>  -   </v>
      </c>
      <c r="E77" s="365" t="str">
        <f t="shared" si="11"/>
        <v>  -   </v>
      </c>
      <c r="F77" s="365" t="str">
        <f t="shared" si="12"/>
        <v>  -   </v>
      </c>
      <c r="G77" s="365" t="str">
        <f t="shared" si="13"/>
        <v>  -   </v>
      </c>
      <c r="H77" s="365" t="str">
        <f t="shared" si="14"/>
        <v>  -   </v>
      </c>
    </row>
    <row r="78" ht="14.25" customHeight="1">
      <c r="A78" s="365" t="str">
        <f t="shared" si="7"/>
        <v> Bengal Gram/Channa</v>
      </c>
      <c r="B78" s="365" t="str">
        <f t="shared" si="8"/>
        <v>  -   </v>
      </c>
      <c r="C78" s="365" t="str">
        <f t="shared" si="9"/>
        <v>  -   </v>
      </c>
      <c r="D78" s="365" t="str">
        <f t="shared" si="10"/>
        <v>  -   </v>
      </c>
      <c r="E78" s="365" t="str">
        <f t="shared" si="11"/>
        <v>  -   </v>
      </c>
      <c r="F78" s="365" t="str">
        <f t="shared" si="12"/>
        <v>  -   </v>
      </c>
      <c r="G78" s="365" t="str">
        <f t="shared" si="13"/>
        <v>  -   </v>
      </c>
      <c r="H78" s="365" t="str">
        <f t="shared" si="14"/>
        <v>  -   </v>
      </c>
    </row>
    <row r="79" ht="14.25" customHeight="1">
      <c r="A79" s="365" t="str">
        <f t="shared" si="7"/>
        <v> Jawar</v>
      </c>
      <c r="B79" s="365" t="str">
        <f t="shared" si="8"/>
        <v>  -   </v>
      </c>
      <c r="C79" s="365" t="str">
        <f t="shared" si="9"/>
        <v>  -   </v>
      </c>
      <c r="D79" s="365" t="str">
        <f t="shared" si="10"/>
        <v>  -   </v>
      </c>
      <c r="E79" s="365" t="str">
        <f t="shared" si="11"/>
        <v>  -   </v>
      </c>
      <c r="F79" s="365" t="str">
        <f t="shared" si="12"/>
        <v>  -   </v>
      </c>
      <c r="G79" s="365" t="str">
        <f t="shared" si="13"/>
        <v>  -   </v>
      </c>
      <c r="H79" s="365" t="str">
        <f t="shared" si="14"/>
        <v>  -   </v>
      </c>
    </row>
    <row r="80" ht="14.25" customHeight="1">
      <c r="A80" s="365" t="str">
        <f t="shared" si="7"/>
        <v> Maize</v>
      </c>
      <c r="B80" s="365" t="str">
        <f t="shared" si="8"/>
        <v>  -   </v>
      </c>
      <c r="C80" s="365" t="str">
        <f t="shared" si="9"/>
        <v>  -   </v>
      </c>
      <c r="D80" s="365" t="str">
        <f t="shared" si="10"/>
        <v>  -   </v>
      </c>
      <c r="E80" s="365" t="str">
        <f t="shared" si="11"/>
        <v>  -   </v>
      </c>
      <c r="F80" s="365" t="str">
        <f t="shared" si="12"/>
        <v>  -   </v>
      </c>
      <c r="G80" s="365" t="str">
        <f t="shared" si="13"/>
        <v>  -   </v>
      </c>
      <c r="H80" s="365" t="str">
        <f t="shared" si="14"/>
        <v>  -   </v>
      </c>
    </row>
    <row r="81" ht="14.25" customHeight="1">
      <c r="A81" s="365" t="str">
        <f t="shared" si="7"/>
        <v> Safflower</v>
      </c>
      <c r="B81" s="365" t="str">
        <f t="shared" si="8"/>
        <v>  -   </v>
      </c>
      <c r="C81" s="365" t="str">
        <f t="shared" si="9"/>
        <v>  -   </v>
      </c>
      <c r="D81" s="365" t="str">
        <f t="shared" si="10"/>
        <v>  -   </v>
      </c>
      <c r="E81" s="365" t="str">
        <f t="shared" si="11"/>
        <v>  -   </v>
      </c>
      <c r="F81" s="365" t="str">
        <f t="shared" si="12"/>
        <v>  -   </v>
      </c>
      <c r="G81" s="365" t="str">
        <f t="shared" si="13"/>
        <v>  -   </v>
      </c>
      <c r="H81" s="365" t="str">
        <f t="shared" si="14"/>
        <v>  -   </v>
      </c>
    </row>
    <row r="82" ht="14.25" customHeight="1">
      <c r="A82" s="365" t="str">
        <f t="shared" si="7"/>
        <v/>
      </c>
      <c r="B82" s="365" t="str">
        <f t="shared" si="8"/>
        <v>  -   </v>
      </c>
      <c r="C82" s="365" t="str">
        <f t="shared" si="9"/>
        <v>  -   </v>
      </c>
      <c r="D82" s="365" t="str">
        <f t="shared" si="10"/>
        <v>  -   </v>
      </c>
      <c r="E82" s="365" t="str">
        <f t="shared" si="11"/>
        <v>  -   </v>
      </c>
      <c r="F82" s="365" t="str">
        <f t="shared" si="12"/>
        <v>  -   </v>
      </c>
      <c r="G82" s="365" t="str">
        <f t="shared" si="13"/>
        <v>  -   </v>
      </c>
      <c r="H82" s="365" t="str">
        <f t="shared" si="14"/>
        <v>  -   </v>
      </c>
    </row>
    <row r="83" ht="14.25" customHeight="1">
      <c r="A83" s="365" t="str">
        <f t="shared" si="7"/>
        <v/>
      </c>
      <c r="B83" s="365" t="str">
        <f t="shared" si="8"/>
        <v>  -   </v>
      </c>
      <c r="C83" s="365" t="str">
        <f t="shared" si="9"/>
        <v>  -   </v>
      </c>
      <c r="D83" s="365" t="str">
        <f t="shared" si="10"/>
        <v>  -   </v>
      </c>
      <c r="E83" s="365" t="str">
        <f t="shared" si="11"/>
        <v>  -   </v>
      </c>
      <c r="F83" s="365" t="str">
        <f t="shared" si="12"/>
        <v>  -   </v>
      </c>
      <c r="G83" s="365" t="str">
        <f t="shared" si="13"/>
        <v>  -   </v>
      </c>
      <c r="H83" s="365" t="str">
        <f t="shared" si="14"/>
        <v>  -   </v>
      </c>
    </row>
    <row r="84" ht="14.25" customHeight="1">
      <c r="A84" s="365" t="str">
        <f t="shared" si="7"/>
        <v/>
      </c>
      <c r="B84" s="365" t="str">
        <f t="shared" si="8"/>
        <v>  -   </v>
      </c>
      <c r="C84" s="365" t="str">
        <f t="shared" ref="C84:H84" si="15">C27*$B$63</f>
        <v>  -   </v>
      </c>
      <c r="D84" s="365" t="str">
        <f t="shared" si="15"/>
        <v>  -   </v>
      </c>
      <c r="E84" s="365" t="str">
        <f t="shared" si="15"/>
        <v>  -   </v>
      </c>
      <c r="F84" s="365" t="str">
        <f t="shared" si="15"/>
        <v>  -   </v>
      </c>
      <c r="G84" s="365" t="str">
        <f t="shared" si="15"/>
        <v>  -   </v>
      </c>
      <c r="H84" s="365" t="str">
        <f t="shared" si="15"/>
        <v>  -   </v>
      </c>
    </row>
    <row r="85" ht="14.25" customHeight="1">
      <c r="A85" s="365" t="str">
        <f t="shared" si="7"/>
        <v> Groundnut</v>
      </c>
      <c r="B85" s="365" t="str">
        <f t="shared" si="8"/>
        <v>  -   </v>
      </c>
      <c r="C85" s="365" t="str">
        <f t="shared" ref="C85:H85" si="16">C28*$B$63</f>
        <v>  -   </v>
      </c>
      <c r="D85" s="365" t="str">
        <f t="shared" si="16"/>
        <v>  -   </v>
      </c>
      <c r="E85" s="365" t="str">
        <f t="shared" si="16"/>
        <v>  -   </v>
      </c>
      <c r="F85" s="365" t="str">
        <f t="shared" si="16"/>
        <v>  -   </v>
      </c>
      <c r="G85" s="365" t="str">
        <f t="shared" si="16"/>
        <v>  -   </v>
      </c>
      <c r="H85" s="365" t="str">
        <f t="shared" si="16"/>
        <v>  -   </v>
      </c>
    </row>
    <row r="86" ht="14.25" customHeight="1">
      <c r="A86" s="365" t="str">
        <f t="shared" si="7"/>
        <v/>
      </c>
      <c r="B86" s="365" t="str">
        <f t="shared" si="8"/>
        <v>  -   </v>
      </c>
      <c r="C86" s="365" t="str">
        <f t="shared" ref="C86:H86" si="17">C29*$B$63</f>
        <v>  -   </v>
      </c>
      <c r="D86" s="365" t="str">
        <f t="shared" si="17"/>
        <v>  -   </v>
      </c>
      <c r="E86" s="365" t="str">
        <f t="shared" si="17"/>
        <v>  -   </v>
      </c>
      <c r="F86" s="365" t="str">
        <f t="shared" si="17"/>
        <v>  -   </v>
      </c>
      <c r="G86" s="365" t="str">
        <f t="shared" si="17"/>
        <v>  -   </v>
      </c>
      <c r="H86" s="365" t="str">
        <f t="shared" si="17"/>
        <v>  -   </v>
      </c>
    </row>
    <row r="87" ht="14.25" customHeight="1">
      <c r="A87" s="365" t="str">
        <f t="shared" si="7"/>
        <v/>
      </c>
      <c r="B87" s="365" t="str">
        <f t="shared" si="8"/>
        <v>  -   </v>
      </c>
      <c r="C87" s="365" t="str">
        <f t="shared" ref="C87:H87" si="18">C30*$B$63</f>
        <v>  -   </v>
      </c>
      <c r="D87" s="365" t="str">
        <f t="shared" si="18"/>
        <v>  -   </v>
      </c>
      <c r="E87" s="365" t="str">
        <f t="shared" si="18"/>
        <v>  -   </v>
      </c>
      <c r="F87" s="365" t="str">
        <f t="shared" si="18"/>
        <v>  -   </v>
      </c>
      <c r="G87" s="365" t="str">
        <f t="shared" si="18"/>
        <v>  -   </v>
      </c>
      <c r="H87" s="365" t="str">
        <f t="shared" si="18"/>
        <v>  -   </v>
      </c>
    </row>
    <row r="88" ht="14.25" customHeight="1">
      <c r="A88" s="365" t="str">
        <f t="shared" si="7"/>
        <v/>
      </c>
      <c r="B88" s="365" t="str">
        <f t="shared" si="8"/>
        <v>  -   </v>
      </c>
      <c r="C88" s="365" t="str">
        <f t="shared" ref="C88:H88" si="19">C31*$B$63</f>
        <v>  -   </v>
      </c>
      <c r="D88" s="365" t="str">
        <f t="shared" si="19"/>
        <v>  -   </v>
      </c>
      <c r="E88" s="365" t="str">
        <f t="shared" si="19"/>
        <v>  -   </v>
      </c>
      <c r="F88" s="365" t="str">
        <f t="shared" si="19"/>
        <v>  -   </v>
      </c>
      <c r="G88" s="365" t="str">
        <f t="shared" si="19"/>
        <v>  -   </v>
      </c>
      <c r="H88" s="365" t="str">
        <f t="shared" si="19"/>
        <v>  -   </v>
      </c>
    </row>
    <row r="89" ht="14.25" customHeight="1">
      <c r="A89" s="365" t="str">
        <f t="shared" si="7"/>
        <v/>
      </c>
      <c r="B89" s="365" t="str">
        <f t="shared" si="8"/>
        <v>  -   </v>
      </c>
      <c r="C89" s="365" t="str">
        <f t="shared" ref="C89:H89" si="20">C32*$B$63</f>
        <v>  -   </v>
      </c>
      <c r="D89" s="365" t="str">
        <f t="shared" si="20"/>
        <v>  -   </v>
      </c>
      <c r="E89" s="365" t="str">
        <f t="shared" si="20"/>
        <v>  -   </v>
      </c>
      <c r="F89" s="365" t="str">
        <f t="shared" si="20"/>
        <v>  -   </v>
      </c>
      <c r="G89" s="365" t="str">
        <f t="shared" si="20"/>
        <v>  -   </v>
      </c>
      <c r="H89" s="365" t="str">
        <f t="shared" si="20"/>
        <v>  -   </v>
      </c>
    </row>
    <row r="90" ht="14.25" customHeight="1">
      <c r="A90" s="73"/>
      <c r="B90" s="365"/>
      <c r="C90" s="365"/>
      <c r="D90" s="365"/>
      <c r="E90" s="365"/>
      <c r="F90" s="365"/>
      <c r="G90" s="365"/>
      <c r="H90" s="365"/>
      <c r="J90" s="71"/>
      <c r="K90" s="71"/>
      <c r="L90" s="71"/>
    </row>
    <row r="91" ht="14.25" customHeight="1">
      <c r="A91" s="365" t="str">
        <f t="shared" ref="A91:A116" si="21">A34</f>
        <v> Fruit  &amp; Vegetables Crop Production Details</v>
      </c>
      <c r="B91" s="365"/>
      <c r="C91" s="365"/>
      <c r="D91" s="365"/>
      <c r="E91" s="365"/>
      <c r="F91" s="365"/>
      <c r="G91" s="365"/>
      <c r="H91" s="365"/>
      <c r="J91" s="71"/>
      <c r="K91" s="71"/>
      <c r="L91" s="71"/>
    </row>
    <row r="92" ht="14.25" customHeight="1">
      <c r="A92" s="365" t="str">
        <f t="shared" si="21"/>
        <v> Onion</v>
      </c>
      <c r="B92" s="365" t="str">
        <f t="shared" ref="B92:H92" si="22">B35</f>
        <v>  -   </v>
      </c>
      <c r="C92" s="365" t="str">
        <f t="shared" si="22"/>
        <v>  -   </v>
      </c>
      <c r="D92" s="365" t="str">
        <f t="shared" si="22"/>
        <v>  -   </v>
      </c>
      <c r="E92" s="365" t="str">
        <f t="shared" si="22"/>
        <v>  -   </v>
      </c>
      <c r="F92" s="365" t="str">
        <f t="shared" si="22"/>
        <v>  -   </v>
      </c>
      <c r="G92" s="365" t="str">
        <f t="shared" si="22"/>
        <v>  -   </v>
      </c>
      <c r="H92" s="365" t="str">
        <f t="shared" si="22"/>
        <v>  -   </v>
      </c>
      <c r="J92" s="71"/>
      <c r="K92" s="71"/>
      <c r="L92" s="71"/>
    </row>
    <row r="93" ht="14.25" customHeight="1">
      <c r="A93" s="365" t="str">
        <f t="shared" si="21"/>
        <v> Tomato</v>
      </c>
      <c r="B93" s="365" t="str">
        <f t="shared" ref="B93:H93" si="23">B36</f>
        <v>  -   </v>
      </c>
      <c r="C93" s="365" t="str">
        <f t="shared" si="23"/>
        <v>  -   </v>
      </c>
      <c r="D93" s="365" t="str">
        <f t="shared" si="23"/>
        <v>  -   </v>
      </c>
      <c r="E93" s="365" t="str">
        <f t="shared" si="23"/>
        <v>  -   </v>
      </c>
      <c r="F93" s="365" t="str">
        <f t="shared" si="23"/>
        <v>  -   </v>
      </c>
      <c r="G93" s="365" t="str">
        <f t="shared" si="23"/>
        <v>  -   </v>
      </c>
      <c r="H93" s="365" t="str">
        <f t="shared" si="23"/>
        <v>  -   </v>
      </c>
      <c r="J93" s="71"/>
      <c r="K93" s="71"/>
      <c r="L93" s="71"/>
    </row>
    <row r="94" ht="14.25" customHeight="1">
      <c r="A94" s="365" t="str">
        <f t="shared" si="21"/>
        <v> Okra</v>
      </c>
      <c r="B94" s="365" t="str">
        <f t="shared" ref="B94:H94" si="24">B37</f>
        <v>  -   </v>
      </c>
      <c r="C94" s="365" t="str">
        <f t="shared" si="24"/>
        <v>  -   </v>
      </c>
      <c r="D94" s="365" t="str">
        <f t="shared" si="24"/>
        <v>  -   </v>
      </c>
      <c r="E94" s="365" t="str">
        <f t="shared" si="24"/>
        <v>  -   </v>
      </c>
      <c r="F94" s="365" t="str">
        <f t="shared" si="24"/>
        <v>  -   </v>
      </c>
      <c r="G94" s="365" t="str">
        <f t="shared" si="24"/>
        <v>  -   </v>
      </c>
      <c r="H94" s="365" t="str">
        <f t="shared" si="24"/>
        <v>  -   </v>
      </c>
      <c r="J94" s="71"/>
      <c r="K94" s="71"/>
      <c r="L94" s="71"/>
    </row>
    <row r="95" ht="14.25" customHeight="1">
      <c r="A95" s="365" t="str">
        <f t="shared" si="21"/>
        <v> Chilli</v>
      </c>
      <c r="B95" s="365" t="str">
        <f t="shared" ref="B95:H95" si="25">B38</f>
        <v>  -   </v>
      </c>
      <c r="C95" s="365" t="str">
        <f t="shared" si="25"/>
        <v>  -   </v>
      </c>
      <c r="D95" s="365" t="str">
        <f t="shared" si="25"/>
        <v>  -   </v>
      </c>
      <c r="E95" s="365" t="str">
        <f t="shared" si="25"/>
        <v>  -   </v>
      </c>
      <c r="F95" s="365" t="str">
        <f t="shared" si="25"/>
        <v>  -   </v>
      </c>
      <c r="G95" s="365" t="str">
        <f t="shared" si="25"/>
        <v>  -   </v>
      </c>
      <c r="H95" s="365" t="str">
        <f t="shared" si="25"/>
        <v>  -   </v>
      </c>
      <c r="J95" s="71"/>
      <c r="K95" s="71"/>
      <c r="L95" s="71"/>
    </row>
    <row r="96" ht="14.25" customHeight="1">
      <c r="A96" s="365" t="str">
        <f t="shared" si="21"/>
        <v> Potato</v>
      </c>
      <c r="B96" s="365" t="str">
        <f t="shared" ref="B96:H96" si="26">B39</f>
        <v>  -   </v>
      </c>
      <c r="C96" s="365" t="str">
        <f t="shared" si="26"/>
        <v>  -   </v>
      </c>
      <c r="D96" s="365" t="str">
        <f t="shared" si="26"/>
        <v>  -   </v>
      </c>
      <c r="E96" s="365" t="str">
        <f t="shared" si="26"/>
        <v>  -   </v>
      </c>
      <c r="F96" s="365" t="str">
        <f t="shared" si="26"/>
        <v>  -   </v>
      </c>
      <c r="G96" s="365" t="str">
        <f t="shared" si="26"/>
        <v>  -   </v>
      </c>
      <c r="H96" s="365" t="str">
        <f t="shared" si="26"/>
        <v>  -   </v>
      </c>
      <c r="J96" s="71"/>
      <c r="K96" s="71"/>
      <c r="L96" s="71"/>
    </row>
    <row r="97" ht="14.25" customHeight="1">
      <c r="A97" s="365" t="str">
        <f t="shared" si="21"/>
        <v/>
      </c>
      <c r="B97" s="365" t="str">
        <f t="shared" ref="B97:H97" si="27">B40</f>
        <v>  -   </v>
      </c>
      <c r="C97" s="365" t="str">
        <f t="shared" si="27"/>
        <v>  -   </v>
      </c>
      <c r="D97" s="365" t="str">
        <f t="shared" si="27"/>
        <v>  -   </v>
      </c>
      <c r="E97" s="365" t="str">
        <f t="shared" si="27"/>
        <v>  -   </v>
      </c>
      <c r="F97" s="365" t="str">
        <f t="shared" si="27"/>
        <v>  -   </v>
      </c>
      <c r="G97" s="365" t="str">
        <f t="shared" si="27"/>
        <v>  -   </v>
      </c>
      <c r="H97" s="365" t="str">
        <f t="shared" si="27"/>
        <v>  -   </v>
      </c>
      <c r="J97" s="71"/>
      <c r="K97" s="71"/>
      <c r="L97" s="71"/>
    </row>
    <row r="98" ht="14.25" customHeight="1">
      <c r="A98" s="365" t="str">
        <f t="shared" si="21"/>
        <v/>
      </c>
      <c r="B98" s="365" t="str">
        <f t="shared" ref="B98:H98" si="28">B41</f>
        <v>  -   </v>
      </c>
      <c r="C98" s="365" t="str">
        <f t="shared" si="28"/>
        <v>  -   </v>
      </c>
      <c r="D98" s="365" t="str">
        <f t="shared" si="28"/>
        <v>  -   </v>
      </c>
      <c r="E98" s="365" t="str">
        <f t="shared" si="28"/>
        <v>  -   </v>
      </c>
      <c r="F98" s="365" t="str">
        <f t="shared" si="28"/>
        <v>  -   </v>
      </c>
      <c r="G98" s="365" t="str">
        <f t="shared" si="28"/>
        <v>  -   </v>
      </c>
      <c r="H98" s="365" t="str">
        <f t="shared" si="28"/>
        <v>  -   </v>
      </c>
      <c r="J98" s="71"/>
      <c r="K98" s="71"/>
      <c r="L98" s="71"/>
    </row>
    <row r="99" ht="14.25" customHeight="1">
      <c r="A99" s="365" t="str">
        <f t="shared" si="21"/>
        <v/>
      </c>
      <c r="B99" s="365" t="str">
        <f t="shared" ref="B99:H99" si="29">B42</f>
        <v>  -   </v>
      </c>
      <c r="C99" s="365" t="str">
        <f t="shared" si="29"/>
        <v>  -   </v>
      </c>
      <c r="D99" s="365" t="str">
        <f t="shared" si="29"/>
        <v>  -   </v>
      </c>
      <c r="E99" s="365" t="str">
        <f t="shared" si="29"/>
        <v>  -   </v>
      </c>
      <c r="F99" s="365" t="str">
        <f t="shared" si="29"/>
        <v>  -   </v>
      </c>
      <c r="G99" s="365" t="str">
        <f t="shared" si="29"/>
        <v>  -   </v>
      </c>
      <c r="H99" s="365" t="str">
        <f t="shared" si="29"/>
        <v>  -   </v>
      </c>
      <c r="J99" s="71"/>
      <c r="K99" s="71"/>
      <c r="L99" s="71"/>
    </row>
    <row r="100" ht="14.25" customHeight="1">
      <c r="A100" s="365" t="str">
        <f t="shared" si="21"/>
        <v/>
      </c>
      <c r="B100" s="365" t="str">
        <f t="shared" ref="B100:H100" si="30">B43</f>
        <v>  -   </v>
      </c>
      <c r="C100" s="365" t="str">
        <f t="shared" si="30"/>
        <v>  -   </v>
      </c>
      <c r="D100" s="365" t="str">
        <f t="shared" si="30"/>
        <v>  -   </v>
      </c>
      <c r="E100" s="365" t="str">
        <f t="shared" si="30"/>
        <v>  -   </v>
      </c>
      <c r="F100" s="365" t="str">
        <f t="shared" si="30"/>
        <v>  -   </v>
      </c>
      <c r="G100" s="365" t="str">
        <f t="shared" si="30"/>
        <v>  -   </v>
      </c>
      <c r="H100" s="365" t="str">
        <f t="shared" si="30"/>
        <v>  -   </v>
      </c>
      <c r="J100" s="71"/>
      <c r="K100" s="71"/>
      <c r="L100" s="71"/>
    </row>
    <row r="101" ht="14.25" customHeight="1">
      <c r="A101" s="365" t="str">
        <f t="shared" si="21"/>
        <v> Onion</v>
      </c>
      <c r="B101" s="365" t="str">
        <f t="shared" ref="B101:H101" si="31">B44</f>
        <v>  -   </v>
      </c>
      <c r="C101" s="365" t="str">
        <f t="shared" si="31"/>
        <v>  -   </v>
      </c>
      <c r="D101" s="365" t="str">
        <f t="shared" si="31"/>
        <v>  -   </v>
      </c>
      <c r="E101" s="365" t="str">
        <f t="shared" si="31"/>
        <v>  -   </v>
      </c>
      <c r="F101" s="365" t="str">
        <f t="shared" si="31"/>
        <v>  -   </v>
      </c>
      <c r="G101" s="365" t="str">
        <f t="shared" si="31"/>
        <v>  -   </v>
      </c>
      <c r="H101" s="365" t="str">
        <f t="shared" si="31"/>
        <v>  -   </v>
      </c>
      <c r="J101" s="71"/>
      <c r="K101" s="71"/>
      <c r="L101" s="71"/>
    </row>
    <row r="102" ht="14.25" customHeight="1">
      <c r="A102" s="365" t="str">
        <f t="shared" si="21"/>
        <v> Tomato</v>
      </c>
      <c r="B102" s="365" t="str">
        <f t="shared" ref="B102:H102" si="32">B45</f>
        <v>  -   </v>
      </c>
      <c r="C102" s="365" t="str">
        <f t="shared" si="32"/>
        <v>  -   </v>
      </c>
      <c r="D102" s="365" t="str">
        <f t="shared" si="32"/>
        <v>  -   </v>
      </c>
      <c r="E102" s="365" t="str">
        <f t="shared" si="32"/>
        <v>  -   </v>
      </c>
      <c r="F102" s="365" t="str">
        <f t="shared" si="32"/>
        <v>  -   </v>
      </c>
      <c r="G102" s="365" t="str">
        <f t="shared" si="32"/>
        <v>  -   </v>
      </c>
      <c r="H102" s="365" t="str">
        <f t="shared" si="32"/>
        <v>  -   </v>
      </c>
      <c r="J102" s="71"/>
      <c r="K102" s="71"/>
      <c r="L102" s="71"/>
    </row>
    <row r="103" ht="14.25" customHeight="1">
      <c r="A103" s="365" t="str">
        <f t="shared" si="21"/>
        <v> Okra</v>
      </c>
      <c r="B103" s="365" t="str">
        <f t="shared" ref="B103:H103" si="33">B46</f>
        <v>  -   </v>
      </c>
      <c r="C103" s="365" t="str">
        <f t="shared" si="33"/>
        <v>  -   </v>
      </c>
      <c r="D103" s="365" t="str">
        <f t="shared" si="33"/>
        <v>  -   </v>
      </c>
      <c r="E103" s="365" t="str">
        <f t="shared" si="33"/>
        <v>  -   </v>
      </c>
      <c r="F103" s="365" t="str">
        <f t="shared" si="33"/>
        <v>  -   </v>
      </c>
      <c r="G103" s="365" t="str">
        <f t="shared" si="33"/>
        <v>  -   </v>
      </c>
      <c r="H103" s="365" t="str">
        <f t="shared" si="33"/>
        <v>  -   </v>
      </c>
      <c r="J103" s="71"/>
      <c r="K103" s="71"/>
      <c r="L103" s="71"/>
    </row>
    <row r="104" ht="14.25" customHeight="1">
      <c r="A104" s="365" t="str">
        <f t="shared" si="21"/>
        <v> Chilli</v>
      </c>
      <c r="B104" s="365" t="str">
        <f t="shared" ref="B104:H104" si="34">B47</f>
        <v>  -   </v>
      </c>
      <c r="C104" s="365" t="str">
        <f t="shared" si="34"/>
        <v>  -   </v>
      </c>
      <c r="D104" s="365" t="str">
        <f t="shared" si="34"/>
        <v>  -   </v>
      </c>
      <c r="E104" s="365" t="str">
        <f t="shared" si="34"/>
        <v>  -   </v>
      </c>
      <c r="F104" s="365" t="str">
        <f t="shared" si="34"/>
        <v>  -   </v>
      </c>
      <c r="G104" s="365" t="str">
        <f t="shared" si="34"/>
        <v>  -   </v>
      </c>
      <c r="H104" s="365" t="str">
        <f t="shared" si="34"/>
        <v>  -   </v>
      </c>
      <c r="J104" s="71"/>
      <c r="K104" s="71"/>
      <c r="L104" s="71"/>
    </row>
    <row r="105" ht="14.25" customHeight="1">
      <c r="A105" s="365" t="str">
        <f t="shared" si="21"/>
        <v> Brinjal</v>
      </c>
      <c r="B105" s="365" t="str">
        <f t="shared" ref="B105:H105" si="35">B48</f>
        <v>  -   </v>
      </c>
      <c r="C105" s="365" t="str">
        <f t="shared" si="35"/>
        <v>  -   </v>
      </c>
      <c r="D105" s="365" t="str">
        <f t="shared" si="35"/>
        <v>  -   </v>
      </c>
      <c r="E105" s="365" t="str">
        <f t="shared" si="35"/>
        <v>  -   </v>
      </c>
      <c r="F105" s="365" t="str">
        <f t="shared" si="35"/>
        <v>  -   </v>
      </c>
      <c r="G105" s="365" t="str">
        <f t="shared" si="35"/>
        <v>  -   </v>
      </c>
      <c r="H105" s="365" t="str">
        <f t="shared" si="35"/>
        <v>  -   </v>
      </c>
      <c r="J105" s="71"/>
      <c r="K105" s="71"/>
      <c r="L105" s="71"/>
    </row>
    <row r="106" ht="14.25" customHeight="1">
      <c r="A106" s="365" t="str">
        <f t="shared" si="21"/>
        <v/>
      </c>
      <c r="B106" s="365" t="str">
        <f t="shared" ref="B106:H106" si="36">B49</f>
        <v>  -   </v>
      </c>
      <c r="C106" s="365" t="str">
        <f t="shared" si="36"/>
        <v>  -   </v>
      </c>
      <c r="D106" s="365" t="str">
        <f t="shared" si="36"/>
        <v>  -   </v>
      </c>
      <c r="E106" s="365" t="str">
        <f t="shared" si="36"/>
        <v>  -   </v>
      </c>
      <c r="F106" s="365" t="str">
        <f t="shared" si="36"/>
        <v>  -   </v>
      </c>
      <c r="G106" s="365" t="str">
        <f t="shared" si="36"/>
        <v>  -   </v>
      </c>
      <c r="H106" s="365" t="str">
        <f t="shared" si="36"/>
        <v>  -   </v>
      </c>
      <c r="J106" s="71"/>
      <c r="K106" s="71"/>
      <c r="L106" s="71"/>
    </row>
    <row r="107" ht="14.25" customHeight="1">
      <c r="A107" s="365" t="str">
        <f t="shared" si="21"/>
        <v/>
      </c>
      <c r="B107" s="365" t="str">
        <f t="shared" ref="B107:H107" si="37">B50</f>
        <v>  -   </v>
      </c>
      <c r="C107" s="365" t="str">
        <f t="shared" si="37"/>
        <v>  -   </v>
      </c>
      <c r="D107" s="365" t="str">
        <f t="shared" si="37"/>
        <v>  -   </v>
      </c>
      <c r="E107" s="365" t="str">
        <f t="shared" si="37"/>
        <v>  -   </v>
      </c>
      <c r="F107" s="365" t="str">
        <f t="shared" si="37"/>
        <v>  -   </v>
      </c>
      <c r="G107" s="365" t="str">
        <f t="shared" si="37"/>
        <v>  -   </v>
      </c>
      <c r="H107" s="365" t="str">
        <f t="shared" si="37"/>
        <v>  -   </v>
      </c>
      <c r="J107" s="71"/>
      <c r="K107" s="71"/>
      <c r="L107" s="71"/>
    </row>
    <row r="108" ht="14.25" customHeight="1">
      <c r="A108" s="365" t="str">
        <f t="shared" si="21"/>
        <v/>
      </c>
      <c r="B108" s="365" t="str">
        <f t="shared" ref="B108:H108" si="38">B51</f>
        <v>  -   </v>
      </c>
      <c r="C108" s="365" t="str">
        <f t="shared" si="38"/>
        <v>  -   </v>
      </c>
      <c r="D108" s="365" t="str">
        <f t="shared" si="38"/>
        <v>  -   </v>
      </c>
      <c r="E108" s="365" t="str">
        <f t="shared" si="38"/>
        <v>  -   </v>
      </c>
      <c r="F108" s="365" t="str">
        <f t="shared" si="38"/>
        <v>  -   </v>
      </c>
      <c r="G108" s="365" t="str">
        <f t="shared" si="38"/>
        <v>  -   </v>
      </c>
      <c r="H108" s="365" t="str">
        <f t="shared" si="38"/>
        <v>  -   </v>
      </c>
      <c r="J108" s="71"/>
      <c r="K108" s="71"/>
      <c r="L108" s="71"/>
    </row>
    <row r="109" ht="14.25" customHeight="1">
      <c r="A109" s="365" t="str">
        <f t="shared" si="21"/>
        <v/>
      </c>
      <c r="B109" s="365" t="str">
        <f t="shared" ref="B109:H109" si="39">B52</f>
        <v>  -   </v>
      </c>
      <c r="C109" s="365" t="str">
        <f t="shared" si="39"/>
        <v>  -   </v>
      </c>
      <c r="D109" s="365" t="str">
        <f t="shared" si="39"/>
        <v>  -   </v>
      </c>
      <c r="E109" s="365" t="str">
        <f t="shared" si="39"/>
        <v>  -   </v>
      </c>
      <c r="F109" s="365" t="str">
        <f t="shared" si="39"/>
        <v>  -   </v>
      </c>
      <c r="G109" s="365" t="str">
        <f t="shared" si="39"/>
        <v>  -   </v>
      </c>
      <c r="H109" s="365" t="str">
        <f t="shared" si="39"/>
        <v>  -   </v>
      </c>
      <c r="J109" s="71"/>
      <c r="K109" s="71"/>
      <c r="L109" s="71"/>
    </row>
    <row r="110" ht="14.25" customHeight="1">
      <c r="A110" s="365" t="str">
        <f t="shared" si="21"/>
        <v/>
      </c>
      <c r="B110" s="365"/>
      <c r="C110" s="365"/>
      <c r="D110" s="365"/>
      <c r="E110" s="365"/>
      <c r="F110" s="365"/>
      <c r="G110" s="365"/>
      <c r="H110" s="365"/>
      <c r="J110" s="71"/>
      <c r="K110" s="71"/>
      <c r="L110" s="71"/>
    </row>
    <row r="111" ht="14.25" customHeight="1">
      <c r="A111" s="365" t="str">
        <f t="shared" si="21"/>
        <v/>
      </c>
      <c r="B111" s="365"/>
      <c r="C111" s="365"/>
      <c r="D111" s="365"/>
      <c r="E111" s="365"/>
      <c r="F111" s="365"/>
      <c r="G111" s="365"/>
      <c r="H111" s="365"/>
      <c r="J111" s="71"/>
      <c r="K111" s="71"/>
      <c r="L111" s="71"/>
    </row>
    <row r="112" ht="14.25" customHeight="1">
      <c r="A112" s="365" t="str">
        <f t="shared" si="21"/>
        <v/>
      </c>
      <c r="B112" s="365"/>
      <c r="C112" s="365"/>
      <c r="D112" s="365"/>
      <c r="E112" s="365"/>
      <c r="F112" s="365"/>
      <c r="G112" s="365"/>
      <c r="H112" s="365"/>
      <c r="J112" s="71"/>
      <c r="K112" s="71"/>
      <c r="L112" s="71"/>
    </row>
    <row r="113" ht="14.25" customHeight="1">
      <c r="A113" s="365" t="str">
        <f t="shared" si="21"/>
        <v> Pomegranate</v>
      </c>
      <c r="B113" s="365" t="str">
        <f t="shared" ref="B113:H113" si="40">B56</f>
        <v>  -   </v>
      </c>
      <c r="C113" s="365" t="str">
        <f t="shared" si="40"/>
        <v>  -   </v>
      </c>
      <c r="D113" s="365" t="str">
        <f t="shared" si="40"/>
        <v>  -   </v>
      </c>
      <c r="E113" s="365" t="str">
        <f t="shared" si="40"/>
        <v>  -   </v>
      </c>
      <c r="F113" s="365" t="str">
        <f t="shared" si="40"/>
        <v>  -   </v>
      </c>
      <c r="G113" s="365" t="str">
        <f t="shared" si="40"/>
        <v>  -   </v>
      </c>
      <c r="H113" s="365" t="str">
        <f t="shared" si="40"/>
        <v>  -   </v>
      </c>
      <c r="J113" s="71"/>
      <c r="K113" s="71"/>
      <c r="L113" s="71"/>
    </row>
    <row r="114" ht="14.25" customHeight="1">
      <c r="A114" s="365" t="str">
        <f t="shared" si="21"/>
        <v> Custard Apple</v>
      </c>
      <c r="B114" s="365" t="str">
        <f t="shared" ref="B114:H114" si="41">B57</f>
        <v>  -   </v>
      </c>
      <c r="C114" s="365" t="str">
        <f t="shared" si="41"/>
        <v>  -   </v>
      </c>
      <c r="D114" s="365" t="str">
        <f t="shared" si="41"/>
        <v>  -   </v>
      </c>
      <c r="E114" s="365" t="str">
        <f t="shared" si="41"/>
        <v>  -   </v>
      </c>
      <c r="F114" s="365" t="str">
        <f t="shared" si="41"/>
        <v>  -   </v>
      </c>
      <c r="G114" s="365" t="str">
        <f t="shared" si="41"/>
        <v>  -   </v>
      </c>
      <c r="H114" s="365" t="str">
        <f t="shared" si="41"/>
        <v>  -   </v>
      </c>
      <c r="J114" s="71"/>
      <c r="K114" s="71"/>
      <c r="L114" s="71"/>
    </row>
    <row r="115" ht="14.25" customHeight="1">
      <c r="A115" s="365" t="str">
        <f t="shared" si="21"/>
        <v> Guava</v>
      </c>
      <c r="B115" s="365" t="str">
        <f t="shared" ref="B115:H115" si="42">B58</f>
        <v>  -   </v>
      </c>
      <c r="C115" s="365" t="str">
        <f t="shared" si="42"/>
        <v>  -   </v>
      </c>
      <c r="D115" s="365" t="str">
        <f t="shared" si="42"/>
        <v>  -   </v>
      </c>
      <c r="E115" s="365" t="str">
        <f t="shared" si="42"/>
        <v>  -   </v>
      </c>
      <c r="F115" s="365" t="str">
        <f t="shared" si="42"/>
        <v>  -   </v>
      </c>
      <c r="G115" s="365" t="str">
        <f t="shared" si="42"/>
        <v>  -   </v>
      </c>
      <c r="H115" s="365" t="str">
        <f t="shared" si="42"/>
        <v>  -   </v>
      </c>
      <c r="J115" s="71"/>
      <c r="K115" s="71"/>
      <c r="L115" s="71"/>
    </row>
    <row r="116" ht="14.25" customHeight="1">
      <c r="A116" s="365" t="str">
        <f t="shared" si="21"/>
        <v> Citrus</v>
      </c>
      <c r="B116" s="365" t="str">
        <f t="shared" ref="B116:H116" si="43">B59</f>
        <v>  -   </v>
      </c>
      <c r="C116" s="365" t="str">
        <f t="shared" si="43"/>
        <v>  -   </v>
      </c>
      <c r="D116" s="365" t="str">
        <f t="shared" si="43"/>
        <v>  -   </v>
      </c>
      <c r="E116" s="365" t="str">
        <f t="shared" si="43"/>
        <v>  -   </v>
      </c>
      <c r="F116" s="365" t="str">
        <f t="shared" si="43"/>
        <v>  -   </v>
      </c>
      <c r="G116" s="365" t="str">
        <f t="shared" si="43"/>
        <v>  -   </v>
      </c>
      <c r="H116" s="365" t="str">
        <f t="shared" si="43"/>
        <v>  -   </v>
      </c>
      <c r="J116" s="71"/>
      <c r="K116" s="71"/>
      <c r="L116" s="71"/>
    </row>
    <row r="117" ht="14.25" customHeight="1">
      <c r="A117" s="73"/>
      <c r="B117" s="365"/>
      <c r="C117" s="365"/>
      <c r="D117" s="365"/>
      <c r="E117" s="365"/>
      <c r="F117" s="365"/>
      <c r="G117" s="365"/>
      <c r="H117" s="365"/>
      <c r="J117" s="71"/>
      <c r="K117" s="71"/>
      <c r="L117" s="71"/>
    </row>
    <row r="118" ht="14.25" customHeight="1">
      <c r="A118" s="73"/>
      <c r="B118" s="365"/>
      <c r="C118" s="365"/>
      <c r="D118" s="365"/>
      <c r="E118" s="365"/>
      <c r="F118" s="365"/>
      <c r="G118" s="365"/>
      <c r="H118" s="365"/>
      <c r="J118" s="71"/>
      <c r="K118" s="71"/>
      <c r="L118" s="71"/>
    </row>
    <row r="119" ht="14.25" customHeight="1">
      <c r="A119" s="117" t="s">
        <v>642</v>
      </c>
      <c r="B119" s="73"/>
      <c r="C119" s="73"/>
      <c r="D119" s="73"/>
      <c r="E119" s="73"/>
      <c r="F119" s="73"/>
      <c r="G119" s="73"/>
      <c r="H119" s="73"/>
    </row>
    <row r="120" ht="14.25" customHeight="1">
      <c r="A120" s="365" t="str">
        <f t="shared" ref="A120:A141" si="45">A68</f>
        <v> Soybean</v>
      </c>
      <c r="B120" s="360" t="str">
        <f t="shared" ref="B120:H120" si="44">B68-(B68*$G$6)</f>
        <v>  -   </v>
      </c>
      <c r="C120" s="360" t="str">
        <f t="shared" si="44"/>
        <v>  -   </v>
      </c>
      <c r="D120" s="360" t="str">
        <f t="shared" si="44"/>
        <v>  -   </v>
      </c>
      <c r="E120" s="360" t="str">
        <f t="shared" si="44"/>
        <v>  -   </v>
      </c>
      <c r="F120" s="360" t="str">
        <f t="shared" si="44"/>
        <v>  -   </v>
      </c>
      <c r="G120" s="360" t="str">
        <f t="shared" si="44"/>
        <v>  -   </v>
      </c>
      <c r="H120" s="360" t="str">
        <f t="shared" si="44"/>
        <v>  -   </v>
      </c>
    </row>
    <row r="121" ht="14.25" customHeight="1">
      <c r="A121" s="365" t="str">
        <f t="shared" si="45"/>
        <v> Red Gram/Tur</v>
      </c>
      <c r="B121" s="360" t="str">
        <f t="shared" ref="B121:H121" si="46">B69-(B69*$G$6)</f>
        <v>  -   </v>
      </c>
      <c r="C121" s="360" t="str">
        <f t="shared" si="46"/>
        <v>  -   </v>
      </c>
      <c r="D121" s="360" t="str">
        <f t="shared" si="46"/>
        <v>  -   </v>
      </c>
      <c r="E121" s="360" t="str">
        <f t="shared" si="46"/>
        <v>  -   </v>
      </c>
      <c r="F121" s="360" t="str">
        <f t="shared" si="46"/>
        <v>  -   </v>
      </c>
      <c r="G121" s="360" t="str">
        <f t="shared" si="46"/>
        <v>  -   </v>
      </c>
      <c r="H121" s="360" t="str">
        <f t="shared" si="46"/>
        <v>  -   </v>
      </c>
    </row>
    <row r="122" ht="14.25" customHeight="1">
      <c r="A122" s="365" t="str">
        <f t="shared" si="45"/>
        <v> Paddy/Rice</v>
      </c>
      <c r="B122" s="360" t="str">
        <f t="shared" ref="B122:H122" si="47">B70-(B70*$G$6)</f>
        <v>  -   </v>
      </c>
      <c r="C122" s="360" t="str">
        <f t="shared" si="47"/>
        <v>  -   </v>
      </c>
      <c r="D122" s="360" t="str">
        <f t="shared" si="47"/>
        <v>  -   </v>
      </c>
      <c r="E122" s="360" t="str">
        <f t="shared" si="47"/>
        <v>  -   </v>
      </c>
      <c r="F122" s="360" t="str">
        <f t="shared" si="47"/>
        <v>  -   </v>
      </c>
      <c r="G122" s="360" t="str">
        <f t="shared" si="47"/>
        <v>  -   </v>
      </c>
      <c r="H122" s="360" t="str">
        <f t="shared" si="47"/>
        <v>  -   </v>
      </c>
    </row>
    <row r="123" ht="14.25" customHeight="1">
      <c r="A123" s="365" t="str">
        <f t="shared" si="45"/>
        <v> Green Gram/ Moong</v>
      </c>
      <c r="B123" s="360" t="str">
        <f t="shared" ref="B123:H123" si="48">B71-(B71*$G$6)</f>
        <v>  -   </v>
      </c>
      <c r="C123" s="360" t="str">
        <f t="shared" si="48"/>
        <v>  -   </v>
      </c>
      <c r="D123" s="360" t="str">
        <f t="shared" si="48"/>
        <v>  -   </v>
      </c>
      <c r="E123" s="360" t="str">
        <f t="shared" si="48"/>
        <v>  -   </v>
      </c>
      <c r="F123" s="360" t="str">
        <f t="shared" si="48"/>
        <v>  -   </v>
      </c>
      <c r="G123" s="360" t="str">
        <f t="shared" si="48"/>
        <v>  -   </v>
      </c>
      <c r="H123" s="360" t="str">
        <f t="shared" si="48"/>
        <v>  -   </v>
      </c>
    </row>
    <row r="124" ht="14.25" customHeight="1">
      <c r="A124" s="365" t="str">
        <f t="shared" si="45"/>
        <v> Maize</v>
      </c>
      <c r="B124" s="360" t="str">
        <f t="shared" ref="B124:H124" si="49">B72-(B72*$G$6)</f>
        <v>  -   </v>
      </c>
      <c r="C124" s="360" t="str">
        <f t="shared" si="49"/>
        <v>  -   </v>
      </c>
      <c r="D124" s="360" t="str">
        <f t="shared" si="49"/>
        <v>  -   </v>
      </c>
      <c r="E124" s="360" t="str">
        <f t="shared" si="49"/>
        <v>  -   </v>
      </c>
      <c r="F124" s="360" t="str">
        <f t="shared" si="49"/>
        <v>  -   </v>
      </c>
      <c r="G124" s="360" t="str">
        <f t="shared" si="49"/>
        <v>  -   </v>
      </c>
      <c r="H124" s="360" t="str">
        <f t="shared" si="49"/>
        <v>  -   </v>
      </c>
    </row>
    <row r="125" ht="14.25" customHeight="1">
      <c r="A125" s="365" t="str">
        <f t="shared" si="45"/>
        <v> Black Gram/Udid</v>
      </c>
      <c r="B125" s="360" t="str">
        <f t="shared" ref="B125:H125" si="50">B73-(B73*$G$6)</f>
        <v>  -   </v>
      </c>
      <c r="C125" s="360" t="str">
        <f t="shared" si="50"/>
        <v>  -   </v>
      </c>
      <c r="D125" s="360" t="str">
        <f t="shared" si="50"/>
        <v>  -   </v>
      </c>
      <c r="E125" s="360" t="str">
        <f t="shared" si="50"/>
        <v>  -   </v>
      </c>
      <c r="F125" s="360" t="str">
        <f t="shared" si="50"/>
        <v>  -   </v>
      </c>
      <c r="G125" s="360" t="str">
        <f t="shared" si="50"/>
        <v>  -   </v>
      </c>
      <c r="H125" s="360" t="str">
        <f t="shared" si="50"/>
        <v>  -   </v>
      </c>
    </row>
    <row r="126" ht="14.25" customHeight="1">
      <c r="A126" s="365" t="str">
        <f t="shared" si="45"/>
        <v> Bajra</v>
      </c>
      <c r="B126" s="360" t="str">
        <f t="shared" ref="B126:H126" si="51">B74-(B74*$G$6)</f>
        <v>  -   </v>
      </c>
      <c r="C126" s="360" t="str">
        <f t="shared" si="51"/>
        <v>  -   </v>
      </c>
      <c r="D126" s="360" t="str">
        <f t="shared" si="51"/>
        <v>  -   </v>
      </c>
      <c r="E126" s="360" t="str">
        <f t="shared" si="51"/>
        <v>  -   </v>
      </c>
      <c r="F126" s="360" t="str">
        <f t="shared" si="51"/>
        <v>  -   </v>
      </c>
      <c r="G126" s="360" t="str">
        <f t="shared" si="51"/>
        <v>  -   </v>
      </c>
      <c r="H126" s="360" t="str">
        <f t="shared" si="51"/>
        <v>  -   </v>
      </c>
    </row>
    <row r="127" ht="14.25" customHeight="1">
      <c r="A127" s="365" t="str">
        <f t="shared" si="45"/>
        <v> Jawar</v>
      </c>
      <c r="B127" s="360" t="str">
        <f t="shared" ref="B127:H127" si="52">B75-(B75*$G$6)</f>
        <v>  -   </v>
      </c>
      <c r="C127" s="360" t="str">
        <f t="shared" si="52"/>
        <v>  -   </v>
      </c>
      <c r="D127" s="360" t="str">
        <f t="shared" si="52"/>
        <v>  -   </v>
      </c>
      <c r="E127" s="360" t="str">
        <f t="shared" si="52"/>
        <v>  -   </v>
      </c>
      <c r="F127" s="360" t="str">
        <f t="shared" si="52"/>
        <v>  -   </v>
      </c>
      <c r="G127" s="360" t="str">
        <f t="shared" si="52"/>
        <v>  -   </v>
      </c>
      <c r="H127" s="360" t="str">
        <f t="shared" si="52"/>
        <v>  -   </v>
      </c>
    </row>
    <row r="128" ht="14.25" customHeight="1">
      <c r="A128" s="365" t="str">
        <f t="shared" si="45"/>
        <v> Sunflower</v>
      </c>
      <c r="B128" s="360" t="str">
        <f t="shared" ref="B128:H128" si="53">B76-(B76*$G$6)</f>
        <v>  -   </v>
      </c>
      <c r="C128" s="360" t="str">
        <f t="shared" si="53"/>
        <v>  -   </v>
      </c>
      <c r="D128" s="360" t="str">
        <f t="shared" si="53"/>
        <v>  -   </v>
      </c>
      <c r="E128" s="360" t="str">
        <f t="shared" si="53"/>
        <v>  -   </v>
      </c>
      <c r="F128" s="360" t="str">
        <f t="shared" si="53"/>
        <v>  -   </v>
      </c>
      <c r="G128" s="360" t="str">
        <f t="shared" si="53"/>
        <v>  -   </v>
      </c>
      <c r="H128" s="360" t="str">
        <f t="shared" si="53"/>
        <v>  -   </v>
      </c>
    </row>
    <row r="129" ht="14.25" customHeight="1">
      <c r="A129" s="365" t="str">
        <f t="shared" si="45"/>
        <v> Wheat</v>
      </c>
      <c r="B129" s="360" t="str">
        <f t="shared" ref="B129:H129" si="54">B77-(B77*$G$6)</f>
        <v>  -   </v>
      </c>
      <c r="C129" s="360" t="str">
        <f t="shared" si="54"/>
        <v>  -   </v>
      </c>
      <c r="D129" s="360" t="str">
        <f t="shared" si="54"/>
        <v>  -   </v>
      </c>
      <c r="E129" s="360" t="str">
        <f t="shared" si="54"/>
        <v>  -   </v>
      </c>
      <c r="F129" s="360" t="str">
        <f t="shared" si="54"/>
        <v>  -   </v>
      </c>
      <c r="G129" s="360" t="str">
        <f t="shared" si="54"/>
        <v>  -   </v>
      </c>
      <c r="H129" s="360" t="str">
        <f t="shared" si="54"/>
        <v>  -   </v>
      </c>
    </row>
    <row r="130" ht="14.25" customHeight="1">
      <c r="A130" s="365" t="str">
        <f t="shared" si="45"/>
        <v> Bengal Gram/Channa</v>
      </c>
      <c r="B130" s="360" t="str">
        <f t="shared" ref="B130:H130" si="55">B78-(B78*$G$6)</f>
        <v>  -   </v>
      </c>
      <c r="C130" s="360" t="str">
        <f t="shared" si="55"/>
        <v>  -   </v>
      </c>
      <c r="D130" s="360" t="str">
        <f t="shared" si="55"/>
        <v>  -   </v>
      </c>
      <c r="E130" s="360" t="str">
        <f t="shared" si="55"/>
        <v>  -   </v>
      </c>
      <c r="F130" s="360" t="str">
        <f t="shared" si="55"/>
        <v>  -   </v>
      </c>
      <c r="G130" s="360" t="str">
        <f t="shared" si="55"/>
        <v>  -   </v>
      </c>
      <c r="H130" s="360" t="str">
        <f t="shared" si="55"/>
        <v>  -   </v>
      </c>
    </row>
    <row r="131" ht="14.25" customHeight="1">
      <c r="A131" s="365" t="str">
        <f t="shared" si="45"/>
        <v> Jawar</v>
      </c>
      <c r="B131" s="366" t="str">
        <f t="shared" ref="B131:H131" si="56">B79-(B79*$G$6)</f>
        <v>  -   </v>
      </c>
      <c r="C131" s="366" t="str">
        <f t="shared" si="56"/>
        <v>  -   </v>
      </c>
      <c r="D131" s="366" t="str">
        <f t="shared" si="56"/>
        <v>  -   </v>
      </c>
      <c r="E131" s="366" t="str">
        <f t="shared" si="56"/>
        <v>  -   </v>
      </c>
      <c r="F131" s="366" t="str">
        <f t="shared" si="56"/>
        <v>  -   </v>
      </c>
      <c r="G131" s="366" t="str">
        <f t="shared" si="56"/>
        <v>  -   </v>
      </c>
      <c r="H131" s="366" t="str">
        <f t="shared" si="56"/>
        <v>  -   </v>
      </c>
    </row>
    <row r="132" ht="14.25" customHeight="1">
      <c r="A132" s="365" t="str">
        <f t="shared" si="45"/>
        <v> Maize</v>
      </c>
      <c r="B132" s="366" t="str">
        <f t="shared" ref="B132:H132" si="57">B80-(B80*$G$6)</f>
        <v>  -   </v>
      </c>
      <c r="C132" s="366" t="str">
        <f t="shared" si="57"/>
        <v>  -   </v>
      </c>
      <c r="D132" s="366" t="str">
        <f t="shared" si="57"/>
        <v>  -   </v>
      </c>
      <c r="E132" s="366" t="str">
        <f t="shared" si="57"/>
        <v>  -   </v>
      </c>
      <c r="F132" s="366" t="str">
        <f t="shared" si="57"/>
        <v>  -   </v>
      </c>
      <c r="G132" s="366" t="str">
        <f t="shared" si="57"/>
        <v>  -   </v>
      </c>
      <c r="H132" s="366" t="str">
        <f t="shared" si="57"/>
        <v>  -   </v>
      </c>
    </row>
    <row r="133" ht="14.25" customHeight="1">
      <c r="A133" s="365" t="str">
        <f t="shared" si="45"/>
        <v> Safflower</v>
      </c>
      <c r="B133" s="366" t="str">
        <f t="shared" ref="B133:H133" si="58">B81-(B81*$G$6)</f>
        <v>  -   </v>
      </c>
      <c r="C133" s="366" t="str">
        <f t="shared" si="58"/>
        <v>  -   </v>
      </c>
      <c r="D133" s="366" t="str">
        <f t="shared" si="58"/>
        <v>  -   </v>
      </c>
      <c r="E133" s="366" t="str">
        <f t="shared" si="58"/>
        <v>  -   </v>
      </c>
      <c r="F133" s="366" t="str">
        <f t="shared" si="58"/>
        <v>  -   </v>
      </c>
      <c r="G133" s="366" t="str">
        <f t="shared" si="58"/>
        <v>  -   </v>
      </c>
      <c r="H133" s="366" t="str">
        <f t="shared" si="58"/>
        <v>  -   </v>
      </c>
    </row>
    <row r="134" ht="14.25" customHeight="1">
      <c r="A134" s="365" t="str">
        <f t="shared" si="45"/>
        <v/>
      </c>
      <c r="B134" s="366" t="str">
        <f t="shared" ref="B134:H134" si="59">B82-(B82*$G$6)</f>
        <v>  -   </v>
      </c>
      <c r="C134" s="366" t="str">
        <f t="shared" si="59"/>
        <v>  -   </v>
      </c>
      <c r="D134" s="366" t="str">
        <f t="shared" si="59"/>
        <v>  -   </v>
      </c>
      <c r="E134" s="366" t="str">
        <f t="shared" si="59"/>
        <v>  -   </v>
      </c>
      <c r="F134" s="366" t="str">
        <f t="shared" si="59"/>
        <v>  -   </v>
      </c>
      <c r="G134" s="366" t="str">
        <f t="shared" si="59"/>
        <v>  -   </v>
      </c>
      <c r="H134" s="366" t="str">
        <f t="shared" si="59"/>
        <v>  -   </v>
      </c>
    </row>
    <row r="135" ht="14.25" customHeight="1">
      <c r="A135" s="365" t="str">
        <f t="shared" si="45"/>
        <v/>
      </c>
      <c r="B135" s="366" t="str">
        <f t="shared" ref="B135:H135" si="60">B83-(B83*$G$6)</f>
        <v>  -   </v>
      </c>
      <c r="C135" s="366" t="str">
        <f t="shared" si="60"/>
        <v>  -   </v>
      </c>
      <c r="D135" s="366" t="str">
        <f t="shared" si="60"/>
        <v>  -   </v>
      </c>
      <c r="E135" s="366" t="str">
        <f t="shared" si="60"/>
        <v>  -   </v>
      </c>
      <c r="F135" s="366" t="str">
        <f t="shared" si="60"/>
        <v>  -   </v>
      </c>
      <c r="G135" s="366" t="str">
        <f t="shared" si="60"/>
        <v>  -   </v>
      </c>
      <c r="H135" s="366" t="str">
        <f t="shared" si="60"/>
        <v>  -   </v>
      </c>
    </row>
    <row r="136" ht="14.25" customHeight="1">
      <c r="A136" s="365" t="str">
        <f t="shared" si="45"/>
        <v/>
      </c>
      <c r="B136" s="366" t="str">
        <f t="shared" ref="B136:H136" si="61">B84-(B84*$G$6)</f>
        <v>  -   </v>
      </c>
      <c r="C136" s="366" t="str">
        <f t="shared" si="61"/>
        <v>  -   </v>
      </c>
      <c r="D136" s="366" t="str">
        <f t="shared" si="61"/>
        <v>  -   </v>
      </c>
      <c r="E136" s="366" t="str">
        <f t="shared" si="61"/>
        <v>  -   </v>
      </c>
      <c r="F136" s="366" t="str">
        <f t="shared" si="61"/>
        <v>  -   </v>
      </c>
      <c r="G136" s="366" t="str">
        <f t="shared" si="61"/>
        <v>  -   </v>
      </c>
      <c r="H136" s="366" t="str">
        <f t="shared" si="61"/>
        <v>  -   </v>
      </c>
    </row>
    <row r="137" ht="14.25" customHeight="1">
      <c r="A137" s="365" t="str">
        <f t="shared" si="45"/>
        <v> Groundnut</v>
      </c>
      <c r="B137" s="366" t="str">
        <f t="shared" ref="B137:H137" si="62">B85-(B85*$G$6)</f>
        <v>  -   </v>
      </c>
      <c r="C137" s="366" t="str">
        <f t="shared" si="62"/>
        <v>  -   </v>
      </c>
      <c r="D137" s="366" t="str">
        <f t="shared" si="62"/>
        <v>  -   </v>
      </c>
      <c r="E137" s="366" t="str">
        <f t="shared" si="62"/>
        <v>  -   </v>
      </c>
      <c r="F137" s="366" t="str">
        <f t="shared" si="62"/>
        <v>  -   </v>
      </c>
      <c r="G137" s="366" t="str">
        <f t="shared" si="62"/>
        <v>  -   </v>
      </c>
      <c r="H137" s="366" t="str">
        <f t="shared" si="62"/>
        <v>  -   </v>
      </c>
    </row>
    <row r="138" ht="14.25" customHeight="1">
      <c r="A138" s="365" t="str">
        <f t="shared" si="45"/>
        <v/>
      </c>
      <c r="B138" s="366" t="str">
        <f t="shared" ref="B138:H138" si="63">B86-(B86*$G$6)</f>
        <v>  -   </v>
      </c>
      <c r="C138" s="366" t="str">
        <f t="shared" si="63"/>
        <v>  -   </v>
      </c>
      <c r="D138" s="366" t="str">
        <f t="shared" si="63"/>
        <v>  -   </v>
      </c>
      <c r="E138" s="366" t="str">
        <f t="shared" si="63"/>
        <v>  -   </v>
      </c>
      <c r="F138" s="366" t="str">
        <f t="shared" si="63"/>
        <v>  -   </v>
      </c>
      <c r="G138" s="366" t="str">
        <f t="shared" si="63"/>
        <v>  -   </v>
      </c>
      <c r="H138" s="366" t="str">
        <f t="shared" si="63"/>
        <v>  -   </v>
      </c>
    </row>
    <row r="139" ht="14.25" customHeight="1">
      <c r="A139" s="365" t="str">
        <f t="shared" si="45"/>
        <v/>
      </c>
      <c r="B139" s="366" t="str">
        <f t="shared" ref="B139:H139" si="64">B87-(B87*$G$6)</f>
        <v>  -   </v>
      </c>
      <c r="C139" s="366" t="str">
        <f t="shared" si="64"/>
        <v>  -   </v>
      </c>
      <c r="D139" s="366" t="str">
        <f t="shared" si="64"/>
        <v>  -   </v>
      </c>
      <c r="E139" s="366" t="str">
        <f t="shared" si="64"/>
        <v>  -   </v>
      </c>
      <c r="F139" s="366" t="str">
        <f t="shared" si="64"/>
        <v>  -   </v>
      </c>
      <c r="G139" s="366" t="str">
        <f t="shared" si="64"/>
        <v>  -   </v>
      </c>
      <c r="H139" s="366" t="str">
        <f t="shared" si="64"/>
        <v>  -   </v>
      </c>
    </row>
    <row r="140" ht="14.25" customHeight="1">
      <c r="A140" s="365" t="str">
        <f t="shared" si="45"/>
        <v/>
      </c>
      <c r="B140" s="366" t="str">
        <f t="shared" ref="B140:H140" si="65">B88-(B88*$G$6)</f>
        <v>  -   </v>
      </c>
      <c r="C140" s="366" t="str">
        <f t="shared" si="65"/>
        <v>  -   </v>
      </c>
      <c r="D140" s="366" t="str">
        <f t="shared" si="65"/>
        <v>  -   </v>
      </c>
      <c r="E140" s="366" t="str">
        <f t="shared" si="65"/>
        <v>  -   </v>
      </c>
      <c r="F140" s="366" t="str">
        <f t="shared" si="65"/>
        <v>  -   </v>
      </c>
      <c r="G140" s="366" t="str">
        <f t="shared" si="65"/>
        <v>  -   </v>
      </c>
      <c r="H140" s="366" t="str">
        <f t="shared" si="65"/>
        <v>  -   </v>
      </c>
    </row>
    <row r="141" ht="14.25" customHeight="1">
      <c r="A141" s="365" t="str">
        <f t="shared" si="45"/>
        <v/>
      </c>
      <c r="B141" s="366" t="str">
        <f t="shared" ref="B141:H141" si="66">B89-(B89*$G$6)</f>
        <v>  -   </v>
      </c>
      <c r="C141" s="366" t="str">
        <f t="shared" si="66"/>
        <v>  -   </v>
      </c>
      <c r="D141" s="366" t="str">
        <f t="shared" si="66"/>
        <v>  -   </v>
      </c>
      <c r="E141" s="366" t="str">
        <f t="shared" si="66"/>
        <v>  -   </v>
      </c>
      <c r="F141" s="366" t="str">
        <f t="shared" si="66"/>
        <v>  -   </v>
      </c>
      <c r="G141" s="366" t="str">
        <f t="shared" si="66"/>
        <v>  -   </v>
      </c>
      <c r="H141" s="366" t="str">
        <f t="shared" si="66"/>
        <v>  -   </v>
      </c>
    </row>
    <row r="142" ht="14.25" customHeight="1">
      <c r="A142" s="73"/>
      <c r="B142" s="366"/>
      <c r="C142" s="366"/>
      <c r="D142" s="366"/>
      <c r="E142" s="366"/>
      <c r="F142" s="366"/>
      <c r="G142" s="366"/>
      <c r="H142" s="366"/>
    </row>
    <row r="143" ht="14.25" customHeight="1">
      <c r="A143" s="361" t="str">
        <f t="shared" ref="A143:A168" si="67">A91</f>
        <v> Fruit  &amp; Vegetables Crop Production Details</v>
      </c>
      <c r="B143" s="366"/>
      <c r="C143" s="366"/>
      <c r="D143" s="366"/>
      <c r="E143" s="366"/>
      <c r="F143" s="366"/>
      <c r="G143" s="366"/>
      <c r="H143" s="366"/>
    </row>
    <row r="144" ht="14.25" customHeight="1">
      <c r="A144" s="365" t="str">
        <f t="shared" si="67"/>
        <v> Onion</v>
      </c>
      <c r="B144" s="366" t="str">
        <f t="shared" ref="B144:H144" si="68">B92-(B92*$G$7)</f>
        <v>  -   </v>
      </c>
      <c r="C144" s="366" t="str">
        <f t="shared" si="68"/>
        <v>  -   </v>
      </c>
      <c r="D144" s="366" t="str">
        <f t="shared" si="68"/>
        <v>  -   </v>
      </c>
      <c r="E144" s="366" t="str">
        <f t="shared" si="68"/>
        <v>  -   </v>
      </c>
      <c r="F144" s="366" t="str">
        <f t="shared" si="68"/>
        <v>  -   </v>
      </c>
      <c r="G144" s="366" t="str">
        <f t="shared" si="68"/>
        <v>  -   </v>
      </c>
      <c r="H144" s="366" t="str">
        <f t="shared" si="68"/>
        <v>  -   </v>
      </c>
    </row>
    <row r="145" ht="14.25" customHeight="1">
      <c r="A145" s="365" t="str">
        <f t="shared" si="67"/>
        <v> Tomato</v>
      </c>
      <c r="B145" s="366" t="str">
        <f t="shared" ref="B145:H145" si="69">B93-(B93*$G$7)</f>
        <v>  -   </v>
      </c>
      <c r="C145" s="366" t="str">
        <f t="shared" si="69"/>
        <v>  -   </v>
      </c>
      <c r="D145" s="366" t="str">
        <f t="shared" si="69"/>
        <v>  -   </v>
      </c>
      <c r="E145" s="366" t="str">
        <f t="shared" si="69"/>
        <v>  -   </v>
      </c>
      <c r="F145" s="366" t="str">
        <f t="shared" si="69"/>
        <v>  -   </v>
      </c>
      <c r="G145" s="366" t="str">
        <f t="shared" si="69"/>
        <v>  -   </v>
      </c>
      <c r="H145" s="366" t="str">
        <f t="shared" si="69"/>
        <v>  -   </v>
      </c>
    </row>
    <row r="146" ht="14.25" customHeight="1">
      <c r="A146" s="365" t="str">
        <f t="shared" si="67"/>
        <v> Okra</v>
      </c>
      <c r="B146" s="366" t="str">
        <f t="shared" ref="B146:H146" si="70">B94-(B94*$G$7)</f>
        <v>  -   </v>
      </c>
      <c r="C146" s="366" t="str">
        <f t="shared" si="70"/>
        <v>  -   </v>
      </c>
      <c r="D146" s="366" t="str">
        <f t="shared" si="70"/>
        <v>  -   </v>
      </c>
      <c r="E146" s="366" t="str">
        <f t="shared" si="70"/>
        <v>  -   </v>
      </c>
      <c r="F146" s="366" t="str">
        <f t="shared" si="70"/>
        <v>  -   </v>
      </c>
      <c r="G146" s="366" t="str">
        <f t="shared" si="70"/>
        <v>  -   </v>
      </c>
      <c r="H146" s="366" t="str">
        <f t="shared" si="70"/>
        <v>  -   </v>
      </c>
    </row>
    <row r="147" ht="14.25" customHeight="1">
      <c r="A147" s="365" t="str">
        <f t="shared" si="67"/>
        <v> Chilli</v>
      </c>
      <c r="B147" s="366" t="str">
        <f t="shared" ref="B147:H147" si="71">B95-(B95*$G$7)</f>
        <v>  -   </v>
      </c>
      <c r="C147" s="366" t="str">
        <f t="shared" si="71"/>
        <v>  -   </v>
      </c>
      <c r="D147" s="366" t="str">
        <f t="shared" si="71"/>
        <v>  -   </v>
      </c>
      <c r="E147" s="366" t="str">
        <f t="shared" si="71"/>
        <v>  -   </v>
      </c>
      <c r="F147" s="366" t="str">
        <f t="shared" si="71"/>
        <v>  -   </v>
      </c>
      <c r="G147" s="366" t="str">
        <f t="shared" si="71"/>
        <v>  -   </v>
      </c>
      <c r="H147" s="366" t="str">
        <f t="shared" si="71"/>
        <v>  -   </v>
      </c>
    </row>
    <row r="148" ht="14.25" customHeight="1">
      <c r="A148" s="365" t="str">
        <f t="shared" si="67"/>
        <v> Potato</v>
      </c>
      <c r="B148" s="366" t="str">
        <f t="shared" ref="B148:H148" si="72">B96-(B96*$G$7)</f>
        <v>  -   </v>
      </c>
      <c r="C148" s="366" t="str">
        <f t="shared" si="72"/>
        <v>  -   </v>
      </c>
      <c r="D148" s="366" t="str">
        <f t="shared" si="72"/>
        <v>  -   </v>
      </c>
      <c r="E148" s="366" t="str">
        <f t="shared" si="72"/>
        <v>  -   </v>
      </c>
      <c r="F148" s="366" t="str">
        <f t="shared" si="72"/>
        <v>  -   </v>
      </c>
      <c r="G148" s="366" t="str">
        <f t="shared" si="72"/>
        <v>  -   </v>
      </c>
      <c r="H148" s="366" t="str">
        <f t="shared" si="72"/>
        <v>  -   </v>
      </c>
    </row>
    <row r="149" ht="14.25" customHeight="1">
      <c r="A149" s="365" t="str">
        <f t="shared" si="67"/>
        <v/>
      </c>
      <c r="B149" s="366" t="str">
        <f t="shared" ref="B149:H149" si="73">B97-(B97*$G$7)</f>
        <v>  -   </v>
      </c>
      <c r="C149" s="366" t="str">
        <f t="shared" si="73"/>
        <v>  -   </v>
      </c>
      <c r="D149" s="366" t="str">
        <f t="shared" si="73"/>
        <v>  -   </v>
      </c>
      <c r="E149" s="366" t="str">
        <f t="shared" si="73"/>
        <v>  -   </v>
      </c>
      <c r="F149" s="366" t="str">
        <f t="shared" si="73"/>
        <v>  -   </v>
      </c>
      <c r="G149" s="366" t="str">
        <f t="shared" si="73"/>
        <v>  -   </v>
      </c>
      <c r="H149" s="366" t="str">
        <f t="shared" si="73"/>
        <v>  -   </v>
      </c>
    </row>
    <row r="150" ht="14.25" customHeight="1">
      <c r="A150" s="365" t="str">
        <f t="shared" si="67"/>
        <v/>
      </c>
      <c r="B150" s="366" t="str">
        <f t="shared" ref="B150:H150" si="74">B98-(B98*$G$7)</f>
        <v>  -   </v>
      </c>
      <c r="C150" s="366" t="str">
        <f t="shared" si="74"/>
        <v>  -   </v>
      </c>
      <c r="D150" s="366" t="str">
        <f t="shared" si="74"/>
        <v>  -   </v>
      </c>
      <c r="E150" s="366" t="str">
        <f t="shared" si="74"/>
        <v>  -   </v>
      </c>
      <c r="F150" s="366" t="str">
        <f t="shared" si="74"/>
        <v>  -   </v>
      </c>
      <c r="G150" s="366" t="str">
        <f t="shared" si="74"/>
        <v>  -   </v>
      </c>
      <c r="H150" s="366" t="str">
        <f t="shared" si="74"/>
        <v>  -   </v>
      </c>
    </row>
    <row r="151" ht="14.25" customHeight="1">
      <c r="A151" s="365" t="str">
        <f t="shared" si="67"/>
        <v/>
      </c>
      <c r="B151" s="366" t="str">
        <f t="shared" ref="B151:H151" si="75">B99-(B99*$G$7)</f>
        <v>  -   </v>
      </c>
      <c r="C151" s="366" t="str">
        <f t="shared" si="75"/>
        <v>  -   </v>
      </c>
      <c r="D151" s="366" t="str">
        <f t="shared" si="75"/>
        <v>  -   </v>
      </c>
      <c r="E151" s="366" t="str">
        <f t="shared" si="75"/>
        <v>  -   </v>
      </c>
      <c r="F151" s="366" t="str">
        <f t="shared" si="75"/>
        <v>  -   </v>
      </c>
      <c r="G151" s="366" t="str">
        <f t="shared" si="75"/>
        <v>  -   </v>
      </c>
      <c r="H151" s="366" t="str">
        <f t="shared" si="75"/>
        <v>  -   </v>
      </c>
    </row>
    <row r="152" ht="14.25" customHeight="1">
      <c r="A152" s="365" t="str">
        <f t="shared" si="67"/>
        <v/>
      </c>
      <c r="B152" s="366" t="str">
        <f t="shared" ref="B152:H152" si="76">B100-(B100*$G$7)</f>
        <v>  -   </v>
      </c>
      <c r="C152" s="366" t="str">
        <f t="shared" si="76"/>
        <v>  -   </v>
      </c>
      <c r="D152" s="366" t="str">
        <f t="shared" si="76"/>
        <v>  -   </v>
      </c>
      <c r="E152" s="366" t="str">
        <f t="shared" si="76"/>
        <v>  -   </v>
      </c>
      <c r="F152" s="366" t="str">
        <f t="shared" si="76"/>
        <v>  -   </v>
      </c>
      <c r="G152" s="366" t="str">
        <f t="shared" si="76"/>
        <v>  -   </v>
      </c>
      <c r="H152" s="366" t="str">
        <f t="shared" si="76"/>
        <v>  -   </v>
      </c>
    </row>
    <row r="153" ht="14.25" customHeight="1">
      <c r="A153" s="365" t="str">
        <f t="shared" si="67"/>
        <v> Onion</v>
      </c>
      <c r="B153" s="366" t="str">
        <f t="shared" ref="B153:H153" si="77">B101-(B101*$G$7)</f>
        <v>  -   </v>
      </c>
      <c r="C153" s="366" t="str">
        <f t="shared" si="77"/>
        <v>  -   </v>
      </c>
      <c r="D153" s="366" t="str">
        <f t="shared" si="77"/>
        <v>  -   </v>
      </c>
      <c r="E153" s="366" t="str">
        <f t="shared" si="77"/>
        <v>  -   </v>
      </c>
      <c r="F153" s="366" t="str">
        <f t="shared" si="77"/>
        <v>  -   </v>
      </c>
      <c r="G153" s="366" t="str">
        <f t="shared" si="77"/>
        <v>  -   </v>
      </c>
      <c r="H153" s="366" t="str">
        <f t="shared" si="77"/>
        <v>  -   </v>
      </c>
    </row>
    <row r="154" ht="14.25" customHeight="1">
      <c r="A154" s="365" t="str">
        <f t="shared" si="67"/>
        <v> Tomato</v>
      </c>
      <c r="B154" s="366" t="str">
        <f t="shared" ref="B154:H154" si="78">B102-(B102*$G$7)</f>
        <v>  -   </v>
      </c>
      <c r="C154" s="366" t="str">
        <f t="shared" si="78"/>
        <v>  -   </v>
      </c>
      <c r="D154" s="366" t="str">
        <f t="shared" si="78"/>
        <v>  -   </v>
      </c>
      <c r="E154" s="366" t="str">
        <f t="shared" si="78"/>
        <v>  -   </v>
      </c>
      <c r="F154" s="366" t="str">
        <f t="shared" si="78"/>
        <v>  -   </v>
      </c>
      <c r="G154" s="366" t="str">
        <f t="shared" si="78"/>
        <v>  -   </v>
      </c>
      <c r="H154" s="366" t="str">
        <f t="shared" si="78"/>
        <v>  -   </v>
      </c>
    </row>
    <row r="155" ht="14.25" customHeight="1">
      <c r="A155" s="365" t="str">
        <f t="shared" si="67"/>
        <v> Okra</v>
      </c>
      <c r="B155" s="366" t="str">
        <f t="shared" ref="B155:H155" si="79">B103-(B103*$G$7)</f>
        <v>  -   </v>
      </c>
      <c r="C155" s="366" t="str">
        <f t="shared" si="79"/>
        <v>  -   </v>
      </c>
      <c r="D155" s="366" t="str">
        <f t="shared" si="79"/>
        <v>  -   </v>
      </c>
      <c r="E155" s="366" t="str">
        <f t="shared" si="79"/>
        <v>  -   </v>
      </c>
      <c r="F155" s="366" t="str">
        <f t="shared" si="79"/>
        <v>  -   </v>
      </c>
      <c r="G155" s="366" t="str">
        <f t="shared" si="79"/>
        <v>  -   </v>
      </c>
      <c r="H155" s="366" t="str">
        <f t="shared" si="79"/>
        <v>  -   </v>
      </c>
    </row>
    <row r="156" ht="14.25" customHeight="1">
      <c r="A156" s="365" t="str">
        <f t="shared" si="67"/>
        <v> Chilli</v>
      </c>
      <c r="B156" s="366" t="str">
        <f t="shared" ref="B156:H156" si="80">B104-(B104*$G$7)</f>
        <v>  -   </v>
      </c>
      <c r="C156" s="366" t="str">
        <f t="shared" si="80"/>
        <v>  -   </v>
      </c>
      <c r="D156" s="366" t="str">
        <f t="shared" si="80"/>
        <v>  -   </v>
      </c>
      <c r="E156" s="366" t="str">
        <f t="shared" si="80"/>
        <v>  -   </v>
      </c>
      <c r="F156" s="366" t="str">
        <f t="shared" si="80"/>
        <v>  -   </v>
      </c>
      <c r="G156" s="366" t="str">
        <f t="shared" si="80"/>
        <v>  -   </v>
      </c>
      <c r="H156" s="366" t="str">
        <f t="shared" si="80"/>
        <v>  -   </v>
      </c>
    </row>
    <row r="157" ht="14.25" customHeight="1">
      <c r="A157" s="365" t="str">
        <f t="shared" si="67"/>
        <v> Brinjal</v>
      </c>
      <c r="B157" s="366" t="str">
        <f t="shared" ref="B157:H157" si="81">B105-(B105*$G$7)</f>
        <v>  -   </v>
      </c>
      <c r="C157" s="366" t="str">
        <f t="shared" si="81"/>
        <v>  -   </v>
      </c>
      <c r="D157" s="366" t="str">
        <f t="shared" si="81"/>
        <v>  -   </v>
      </c>
      <c r="E157" s="366" t="str">
        <f t="shared" si="81"/>
        <v>  -   </v>
      </c>
      <c r="F157" s="366" t="str">
        <f t="shared" si="81"/>
        <v>  -   </v>
      </c>
      <c r="G157" s="366" t="str">
        <f t="shared" si="81"/>
        <v>  -   </v>
      </c>
      <c r="H157" s="366" t="str">
        <f t="shared" si="81"/>
        <v>  -   </v>
      </c>
    </row>
    <row r="158" ht="14.25" customHeight="1">
      <c r="A158" s="365" t="str">
        <f t="shared" si="67"/>
        <v/>
      </c>
      <c r="B158" s="366" t="str">
        <f t="shared" ref="B158:H158" si="82">B106-(B106*$G$7)</f>
        <v>  -   </v>
      </c>
      <c r="C158" s="366" t="str">
        <f t="shared" si="82"/>
        <v>  -   </v>
      </c>
      <c r="D158" s="366" t="str">
        <f t="shared" si="82"/>
        <v>  -   </v>
      </c>
      <c r="E158" s="366" t="str">
        <f t="shared" si="82"/>
        <v>  -   </v>
      </c>
      <c r="F158" s="366" t="str">
        <f t="shared" si="82"/>
        <v>  -   </v>
      </c>
      <c r="G158" s="366" t="str">
        <f t="shared" si="82"/>
        <v>  -   </v>
      </c>
      <c r="H158" s="366" t="str">
        <f t="shared" si="82"/>
        <v>  -   </v>
      </c>
    </row>
    <row r="159" ht="14.25" customHeight="1">
      <c r="A159" s="365" t="str">
        <f t="shared" si="67"/>
        <v/>
      </c>
      <c r="B159" s="366" t="str">
        <f t="shared" ref="B159:H159" si="83">B107-(B107*$G$7)</f>
        <v>  -   </v>
      </c>
      <c r="C159" s="366" t="str">
        <f t="shared" si="83"/>
        <v>  -   </v>
      </c>
      <c r="D159" s="366" t="str">
        <f t="shared" si="83"/>
        <v>  -   </v>
      </c>
      <c r="E159" s="366" t="str">
        <f t="shared" si="83"/>
        <v>  -   </v>
      </c>
      <c r="F159" s="366" t="str">
        <f t="shared" si="83"/>
        <v>  -   </v>
      </c>
      <c r="G159" s="366" t="str">
        <f t="shared" si="83"/>
        <v>  -   </v>
      </c>
      <c r="H159" s="366" t="str">
        <f t="shared" si="83"/>
        <v>  -   </v>
      </c>
    </row>
    <row r="160" ht="14.25" customHeight="1">
      <c r="A160" s="365" t="str">
        <f t="shared" si="67"/>
        <v/>
      </c>
      <c r="B160" s="366" t="str">
        <f t="shared" ref="B160:H160" si="84">B108-(B108*$G$7)</f>
        <v>  -   </v>
      </c>
      <c r="C160" s="366" t="str">
        <f t="shared" si="84"/>
        <v>  -   </v>
      </c>
      <c r="D160" s="366" t="str">
        <f t="shared" si="84"/>
        <v>  -   </v>
      </c>
      <c r="E160" s="366" t="str">
        <f t="shared" si="84"/>
        <v>  -   </v>
      </c>
      <c r="F160" s="366" t="str">
        <f t="shared" si="84"/>
        <v>  -   </v>
      </c>
      <c r="G160" s="366" t="str">
        <f t="shared" si="84"/>
        <v>  -   </v>
      </c>
      <c r="H160" s="366" t="str">
        <f t="shared" si="84"/>
        <v>  -   </v>
      </c>
    </row>
    <row r="161" ht="14.25" customHeight="1">
      <c r="A161" s="365" t="str">
        <f t="shared" si="67"/>
        <v/>
      </c>
      <c r="B161" s="366" t="str">
        <f t="shared" ref="B161:H161" si="85">B109-(B109*$G$7)</f>
        <v>  -   </v>
      </c>
      <c r="C161" s="366" t="str">
        <f t="shared" si="85"/>
        <v>  -   </v>
      </c>
      <c r="D161" s="366" t="str">
        <f t="shared" si="85"/>
        <v>  -   </v>
      </c>
      <c r="E161" s="366" t="str">
        <f t="shared" si="85"/>
        <v>  -   </v>
      </c>
      <c r="F161" s="366" t="str">
        <f t="shared" si="85"/>
        <v>  -   </v>
      </c>
      <c r="G161" s="366" t="str">
        <f t="shared" si="85"/>
        <v>  -   </v>
      </c>
      <c r="H161" s="366" t="str">
        <f t="shared" si="85"/>
        <v>  -   </v>
      </c>
    </row>
    <row r="162" ht="14.25" customHeight="1">
      <c r="A162" s="365" t="str">
        <f t="shared" si="67"/>
        <v/>
      </c>
      <c r="B162" s="366" t="str">
        <f t="shared" ref="B162:H162" si="86">B110-(B110*$G$7)</f>
        <v>  -   </v>
      </c>
      <c r="C162" s="366" t="str">
        <f t="shared" si="86"/>
        <v>  -   </v>
      </c>
      <c r="D162" s="366" t="str">
        <f t="shared" si="86"/>
        <v>  -   </v>
      </c>
      <c r="E162" s="366" t="str">
        <f t="shared" si="86"/>
        <v>  -   </v>
      </c>
      <c r="F162" s="366" t="str">
        <f t="shared" si="86"/>
        <v>  -   </v>
      </c>
      <c r="G162" s="366" t="str">
        <f t="shared" si="86"/>
        <v>  -   </v>
      </c>
      <c r="H162" s="366" t="str">
        <f t="shared" si="86"/>
        <v>  -   </v>
      </c>
    </row>
    <row r="163" ht="14.25" customHeight="1">
      <c r="A163" s="365" t="str">
        <f t="shared" si="67"/>
        <v/>
      </c>
      <c r="B163" s="366" t="str">
        <f t="shared" ref="B163:H163" si="87">B111-(B111*$G$7)</f>
        <v>  -   </v>
      </c>
      <c r="C163" s="366" t="str">
        <f t="shared" si="87"/>
        <v>  -   </v>
      </c>
      <c r="D163" s="366" t="str">
        <f t="shared" si="87"/>
        <v>  -   </v>
      </c>
      <c r="E163" s="366" t="str">
        <f t="shared" si="87"/>
        <v>  -   </v>
      </c>
      <c r="F163" s="366" t="str">
        <f t="shared" si="87"/>
        <v>  -   </v>
      </c>
      <c r="G163" s="366" t="str">
        <f t="shared" si="87"/>
        <v>  -   </v>
      </c>
      <c r="H163" s="366" t="str">
        <f t="shared" si="87"/>
        <v>  -   </v>
      </c>
    </row>
    <row r="164" ht="14.25" customHeight="1">
      <c r="A164" s="365" t="str">
        <f t="shared" si="67"/>
        <v/>
      </c>
      <c r="B164" s="366" t="str">
        <f t="shared" ref="B164:H164" si="88">B112-(B112*$G$7)</f>
        <v>  -   </v>
      </c>
      <c r="C164" s="366" t="str">
        <f t="shared" si="88"/>
        <v>  -   </v>
      </c>
      <c r="D164" s="366" t="str">
        <f t="shared" si="88"/>
        <v>  -   </v>
      </c>
      <c r="E164" s="366" t="str">
        <f t="shared" si="88"/>
        <v>  -   </v>
      </c>
      <c r="F164" s="366" t="str">
        <f t="shared" si="88"/>
        <v>  -   </v>
      </c>
      <c r="G164" s="366" t="str">
        <f t="shared" si="88"/>
        <v>  -   </v>
      </c>
      <c r="H164" s="366" t="str">
        <f t="shared" si="88"/>
        <v>  -   </v>
      </c>
    </row>
    <row r="165" ht="14.25" customHeight="1">
      <c r="A165" s="365" t="str">
        <f t="shared" si="67"/>
        <v> Pomegranate</v>
      </c>
      <c r="B165" s="366" t="str">
        <f t="shared" ref="B165:H165" si="89">B113-(B113*$G$7)</f>
        <v>  -   </v>
      </c>
      <c r="C165" s="366" t="str">
        <f t="shared" si="89"/>
        <v>  -   </v>
      </c>
      <c r="D165" s="366" t="str">
        <f t="shared" si="89"/>
        <v>  -   </v>
      </c>
      <c r="E165" s="366" t="str">
        <f t="shared" si="89"/>
        <v>  -   </v>
      </c>
      <c r="F165" s="366" t="str">
        <f t="shared" si="89"/>
        <v>  -   </v>
      </c>
      <c r="G165" s="366" t="str">
        <f t="shared" si="89"/>
        <v>  -   </v>
      </c>
      <c r="H165" s="366" t="str">
        <f t="shared" si="89"/>
        <v>  -   </v>
      </c>
    </row>
    <row r="166" ht="14.25" customHeight="1">
      <c r="A166" s="365" t="str">
        <f t="shared" si="67"/>
        <v> Custard Apple</v>
      </c>
      <c r="B166" s="366" t="str">
        <f t="shared" ref="B166:H166" si="90">B114-(B114*$G$7)</f>
        <v>  -   </v>
      </c>
      <c r="C166" s="366" t="str">
        <f t="shared" si="90"/>
        <v>  -   </v>
      </c>
      <c r="D166" s="366" t="str">
        <f t="shared" si="90"/>
        <v>  -   </v>
      </c>
      <c r="E166" s="366" t="str">
        <f t="shared" si="90"/>
        <v>  -   </v>
      </c>
      <c r="F166" s="366" t="str">
        <f t="shared" si="90"/>
        <v>  -   </v>
      </c>
      <c r="G166" s="366" t="str">
        <f t="shared" si="90"/>
        <v>  -   </v>
      </c>
      <c r="H166" s="366" t="str">
        <f t="shared" si="90"/>
        <v>  -   </v>
      </c>
    </row>
    <row r="167" ht="14.25" customHeight="1">
      <c r="A167" s="365" t="str">
        <f t="shared" si="67"/>
        <v> Guava</v>
      </c>
      <c r="B167" s="366" t="str">
        <f t="shared" ref="B167:H167" si="91">B115-(B115*$G$7)</f>
        <v>  -   </v>
      </c>
      <c r="C167" s="366" t="str">
        <f t="shared" si="91"/>
        <v>  -   </v>
      </c>
      <c r="D167" s="366" t="str">
        <f t="shared" si="91"/>
        <v>  -   </v>
      </c>
      <c r="E167" s="366" t="str">
        <f t="shared" si="91"/>
        <v>  -   </v>
      </c>
      <c r="F167" s="366" t="str">
        <f t="shared" si="91"/>
        <v>  -   </v>
      </c>
      <c r="G167" s="366" t="str">
        <f t="shared" si="91"/>
        <v>  -   </v>
      </c>
      <c r="H167" s="366" t="str">
        <f t="shared" si="91"/>
        <v>  -   </v>
      </c>
    </row>
    <row r="168" ht="14.25" customHeight="1">
      <c r="A168" s="365" t="str">
        <f t="shared" si="67"/>
        <v> Citrus</v>
      </c>
      <c r="B168" s="366" t="str">
        <f t="shared" ref="B168:H168" si="92">B116-(B116*$G$7)</f>
        <v>  -   </v>
      </c>
      <c r="C168" s="366" t="str">
        <f t="shared" si="92"/>
        <v>  -   </v>
      </c>
      <c r="D168" s="366" t="str">
        <f t="shared" si="92"/>
        <v>  -   </v>
      </c>
      <c r="E168" s="366" t="str">
        <f t="shared" si="92"/>
        <v>  -   </v>
      </c>
      <c r="F168" s="366" t="str">
        <f t="shared" si="92"/>
        <v>  -   </v>
      </c>
      <c r="G168" s="366" t="str">
        <f t="shared" si="92"/>
        <v>  -   </v>
      </c>
      <c r="H168" s="366" t="str">
        <f t="shared" si="92"/>
        <v>  -   </v>
      </c>
    </row>
    <row r="169" ht="14.25" customHeight="1">
      <c r="A169" s="111"/>
    </row>
    <row r="170" ht="14.25" customHeight="1">
      <c r="A170" s="25" t="s">
        <v>643</v>
      </c>
    </row>
    <row r="171" ht="14.25" customHeight="1">
      <c r="A171" s="24"/>
      <c r="B171" s="24"/>
      <c r="C171" s="24"/>
      <c r="D171" s="24"/>
      <c r="E171" s="24"/>
      <c r="F171" s="24"/>
      <c r="G171" s="24"/>
      <c r="H171" s="24"/>
    </row>
    <row r="172" ht="14.25" customHeight="1">
      <c r="A172" s="367"/>
      <c r="B172" s="367"/>
      <c r="C172" s="367"/>
      <c r="D172" s="368">
        <v>1.0</v>
      </c>
      <c r="E172" s="369" t="str">
        <f t="shared" ref="E172:J172" si="93">(D172*5%)+D172</f>
        <v>105.00%</v>
      </c>
      <c r="F172" s="369" t="str">
        <f t="shared" si="93"/>
        <v>110.25%</v>
      </c>
      <c r="G172" s="369" t="str">
        <f t="shared" si="93"/>
        <v>115.76%</v>
      </c>
      <c r="H172" s="369" t="str">
        <f t="shared" si="93"/>
        <v>121.55%</v>
      </c>
      <c r="I172" s="369" t="str">
        <f t="shared" si="93"/>
        <v>127.63%</v>
      </c>
      <c r="J172" s="369" t="str">
        <f t="shared" si="93"/>
        <v>134.01%</v>
      </c>
      <c r="K172" s="111"/>
      <c r="L172" s="111"/>
      <c r="M172" s="111"/>
      <c r="N172" s="111"/>
      <c r="O172" s="111"/>
      <c r="P172" s="111"/>
      <c r="Q172" s="111"/>
      <c r="R172" s="111"/>
      <c r="S172" s="111"/>
      <c r="T172" s="111"/>
    </row>
    <row r="173" ht="14.25" customHeight="1">
      <c r="A173" s="111"/>
      <c r="B173" s="111"/>
      <c r="C173" s="111"/>
      <c r="D173" s="111"/>
      <c r="E173" s="111"/>
      <c r="F173" s="111"/>
      <c r="G173" s="111"/>
      <c r="H173" s="111"/>
      <c r="I173" s="111"/>
      <c r="J173" s="111"/>
      <c r="K173" s="111"/>
      <c r="L173" s="111"/>
      <c r="M173" s="111"/>
      <c r="N173" s="111"/>
      <c r="O173" s="111"/>
      <c r="P173" s="111"/>
      <c r="Q173" s="111"/>
      <c r="R173" s="111"/>
      <c r="S173" s="111"/>
      <c r="T173" s="111"/>
    </row>
    <row r="174" ht="14.25" customHeight="1">
      <c r="A174" s="111"/>
      <c r="B174" s="111"/>
      <c r="C174" s="111"/>
      <c r="D174" s="112"/>
      <c r="E174" s="112"/>
      <c r="F174" s="112"/>
      <c r="G174" s="112"/>
      <c r="H174" s="112"/>
      <c r="I174" s="112"/>
      <c r="J174" s="112"/>
      <c r="K174" s="111"/>
      <c r="L174" s="111"/>
    </row>
    <row r="175" ht="14.25" customHeight="1">
      <c r="A175" s="198" t="s">
        <v>190</v>
      </c>
      <c r="B175" s="198"/>
      <c r="C175" s="198" t="s">
        <v>135</v>
      </c>
      <c r="D175" s="199" t="s">
        <v>193</v>
      </c>
      <c r="E175" s="199" t="s">
        <v>194</v>
      </c>
      <c r="F175" s="199" t="s">
        <v>195</v>
      </c>
      <c r="G175" s="199" t="s">
        <v>196</v>
      </c>
      <c r="H175" s="199" t="s">
        <v>197</v>
      </c>
      <c r="I175" s="199" t="s">
        <v>198</v>
      </c>
      <c r="J175" s="199" t="s">
        <v>199</v>
      </c>
      <c r="K175" s="111"/>
      <c r="L175" s="111"/>
    </row>
    <row r="176" ht="14.25" customHeight="1">
      <c r="A176" s="117"/>
      <c r="B176" s="117"/>
      <c r="C176" s="117"/>
      <c r="D176" s="73"/>
      <c r="E176" s="73"/>
      <c r="F176" s="73"/>
      <c r="G176" s="73"/>
      <c r="H176" s="73"/>
      <c r="I176" s="73"/>
      <c r="J176" s="73"/>
      <c r="K176" s="111"/>
      <c r="L176" s="111"/>
    </row>
    <row r="177" ht="14.25" customHeight="1">
      <c r="A177" s="117" t="s">
        <v>404</v>
      </c>
      <c r="B177" s="117"/>
      <c r="C177" s="117"/>
      <c r="D177" s="73"/>
      <c r="E177" s="73"/>
      <c r="F177" s="73"/>
      <c r="G177" s="73"/>
      <c r="H177" s="73"/>
      <c r="I177" s="73"/>
      <c r="J177" s="73"/>
      <c r="K177" s="111"/>
      <c r="L177" s="111"/>
    </row>
    <row r="178" ht="14.25" customHeight="1">
      <c r="A178" s="73" t="str">
        <f>Output!B18</f>
        <v>Soybean</v>
      </c>
      <c r="B178" s="73" t="s">
        <v>644</v>
      </c>
      <c r="C178" s="118">
        <v>5000.0</v>
      </c>
      <c r="D178" s="365" t="str">
        <f>((1-'5.Closing Stock &amp; W Capital'!$D$16)*(B120))*$C178*D$172</f>
        <v>  -   </v>
      </c>
      <c r="E178" s="365" t="str">
        <f>(((1-'5.Closing Stock &amp; W Capital'!$D$16)*C120)+(('5.Closing Stock &amp; W Capital'!$D$16)*B120))*$C178*E$172</f>
        <v>  -   </v>
      </c>
      <c r="F178" s="365" t="str">
        <f>(((1-'5.Closing Stock &amp; W Capital'!$D$16)*D120)+(('5.Closing Stock &amp; W Capital'!$D$16)*C120))*$C178*F$172</f>
        <v>  -   </v>
      </c>
      <c r="G178" s="365" t="str">
        <f>(((1-'5.Closing Stock &amp; W Capital'!$D$16)*E120)+(('5.Closing Stock &amp; W Capital'!$D$16)*D120))*$C178*G$172</f>
        <v>  -   </v>
      </c>
      <c r="H178" s="365" t="str">
        <f>(((1-'5.Closing Stock &amp; W Capital'!$D$16)*F120)+(('5.Closing Stock &amp; W Capital'!$D$16)*E120))*$C178*H$172</f>
        <v>  -   </v>
      </c>
      <c r="I178" s="365" t="str">
        <f>(((1-'5.Closing Stock &amp; W Capital'!$D$16)*G120)+(('5.Closing Stock &amp; W Capital'!$D$16)*F120))*$C178*I$172</f>
        <v>  -   </v>
      </c>
      <c r="J178" s="365" t="str">
        <f>(((1-'5.Closing Stock &amp; W Capital'!$D$16)*H120)+(('5.Closing Stock &amp; W Capital'!$D$16)*G120))*$C178*J$172</f>
        <v>  -   </v>
      </c>
      <c r="K178" s="111"/>
      <c r="L178" s="111"/>
    </row>
    <row r="179" ht="14.25" customHeight="1">
      <c r="A179" s="73" t="str">
        <f>Output!B19</f>
        <v>Red Gram</v>
      </c>
      <c r="B179" s="73" t="s">
        <v>644</v>
      </c>
      <c r="C179" s="118">
        <v>6300.0</v>
      </c>
      <c r="D179" s="365" t="str">
        <f>((1-'5.Closing Stock &amp; W Capital'!$D$16)*(B121))*$C179*D$172</f>
        <v>  -   </v>
      </c>
      <c r="E179" s="365" t="str">
        <f>(((1-'5.Closing Stock &amp; W Capital'!$D$16)*C121)+(('5.Closing Stock &amp; W Capital'!$D$16)*B121))*$C179*E$172</f>
        <v>  -   </v>
      </c>
      <c r="F179" s="365" t="str">
        <f>(((1-'5.Closing Stock &amp; W Capital'!$D$16)*D121)+(('5.Closing Stock &amp; W Capital'!$D$16)*C121))*$C179*F$172</f>
        <v>  -   </v>
      </c>
      <c r="G179" s="365" t="str">
        <f>(((1-'5.Closing Stock &amp; W Capital'!$D$16)*E121)+(('5.Closing Stock &amp; W Capital'!$D$16)*D121))*$C179*G$172</f>
        <v>  -   </v>
      </c>
      <c r="H179" s="365" t="str">
        <f>(((1-'5.Closing Stock &amp; W Capital'!$D$16)*F121)+(('5.Closing Stock &amp; W Capital'!$D$16)*E121))*$C179*H$172</f>
        <v>  -   </v>
      </c>
      <c r="I179" s="365" t="str">
        <f>(((1-'5.Closing Stock &amp; W Capital'!$D$16)*G121)+(('5.Closing Stock &amp; W Capital'!$D$16)*F121))*$C179*I$172</f>
        <v>  -   </v>
      </c>
      <c r="J179" s="365" t="str">
        <f>(((1-'5.Closing Stock &amp; W Capital'!$D$16)*H121)+(('5.Closing Stock &amp; W Capital'!$D$16)*G121))*$C179*J$172</f>
        <v>  -   </v>
      </c>
      <c r="K179" s="111"/>
      <c r="L179" s="111"/>
    </row>
    <row r="180" ht="14.25" customHeight="1">
      <c r="A180" s="73" t="str">
        <f>Output!B20</f>
        <v>Bengal Gram</v>
      </c>
      <c r="B180" s="73" t="s">
        <v>644</v>
      </c>
      <c r="C180" s="118">
        <v>5500.0</v>
      </c>
      <c r="D180" s="365" t="str">
        <f>((1-'5.Closing Stock &amp; W Capital'!$D$16)*(B130))*$C180*D$172</f>
        <v>  -   </v>
      </c>
      <c r="E180" s="365" t="str">
        <f>(((1-'5.Closing Stock &amp; W Capital'!$D$16)*C130)+(('5.Closing Stock &amp; W Capital'!$D$16)*B130))*$C180*E$172</f>
        <v>  -   </v>
      </c>
      <c r="F180" s="365" t="str">
        <f>(((1-'5.Closing Stock &amp; W Capital'!$D$16)*D130)+(('5.Closing Stock &amp; W Capital'!$D$16)*C130))*$C180*F$172</f>
        <v>  -   </v>
      </c>
      <c r="G180" s="365" t="str">
        <f>(((1-'5.Closing Stock &amp; W Capital'!$D$16)*E130)+(('5.Closing Stock &amp; W Capital'!$D$16)*D130))*$C180*G$172</f>
        <v>  -   </v>
      </c>
      <c r="H180" s="365" t="str">
        <f>(((1-'5.Closing Stock &amp; W Capital'!$D$16)*F130)+(('5.Closing Stock &amp; W Capital'!$D$16)*E130))*$C180*H$172</f>
        <v>  -   </v>
      </c>
      <c r="I180" s="365" t="str">
        <f>(((1-'5.Closing Stock &amp; W Capital'!$D$16)*G130)+(('5.Closing Stock &amp; W Capital'!$D$16)*F130))*$C180*I$172</f>
        <v>  -   </v>
      </c>
      <c r="J180" s="365" t="str">
        <f>(((1-'5.Closing Stock &amp; W Capital'!$D$16)*H130)+(('5.Closing Stock &amp; W Capital'!$D$16)*G130))*$C180*J$172</f>
        <v>  -   </v>
      </c>
      <c r="K180" s="111"/>
      <c r="L180" s="111"/>
    </row>
    <row r="181" ht="14.25" customHeight="1">
      <c r="A181" s="117"/>
      <c r="B181" s="117"/>
      <c r="C181" s="117"/>
      <c r="D181" s="73"/>
      <c r="E181" s="73"/>
      <c r="F181" s="365"/>
      <c r="G181" s="365"/>
      <c r="H181" s="365"/>
      <c r="I181" s="365"/>
      <c r="J181" s="365"/>
      <c r="K181" s="111"/>
      <c r="L181" s="111"/>
    </row>
    <row r="182" ht="14.25" customHeight="1">
      <c r="A182" s="117" t="s">
        <v>645</v>
      </c>
      <c r="B182" s="73" t="s">
        <v>644</v>
      </c>
      <c r="C182" s="118">
        <v>80.0</v>
      </c>
      <c r="D182" s="116" t="str">
        <f t="shared" ref="D182:J182" si="94">B65*$C$182*D172</f>
        <v>  -   </v>
      </c>
      <c r="E182" s="116" t="str">
        <f t="shared" si="94"/>
        <v>  -   </v>
      </c>
      <c r="F182" s="116" t="str">
        <f t="shared" si="94"/>
        <v>  -   </v>
      </c>
      <c r="G182" s="116" t="str">
        <f t="shared" si="94"/>
        <v>  -   </v>
      </c>
      <c r="H182" s="116" t="str">
        <f t="shared" si="94"/>
        <v>  -   </v>
      </c>
      <c r="I182" s="116" t="str">
        <f t="shared" si="94"/>
        <v>  -   </v>
      </c>
      <c r="J182" s="116" t="str">
        <f t="shared" si="94"/>
        <v>  -   </v>
      </c>
      <c r="K182" s="111"/>
      <c r="L182" s="111"/>
    </row>
    <row r="183" ht="14.25" customHeight="1">
      <c r="A183" s="117"/>
      <c r="B183" s="117"/>
      <c r="C183" s="117"/>
      <c r="D183" s="73"/>
      <c r="E183" s="73"/>
      <c r="F183" s="365"/>
      <c r="G183" s="365"/>
      <c r="H183" s="365"/>
      <c r="I183" s="365"/>
      <c r="J183" s="365"/>
      <c r="K183" s="111"/>
      <c r="L183" s="111"/>
    </row>
    <row r="184" ht="14.25" customHeight="1">
      <c r="A184" s="117" t="s">
        <v>411</v>
      </c>
      <c r="B184" s="117"/>
      <c r="C184" s="117"/>
      <c r="D184" s="361" t="str">
        <f t="shared" ref="D184:J184" si="95">SUM(D178:D182)</f>
        <v>  -   </v>
      </c>
      <c r="E184" s="361" t="str">
        <f t="shared" si="95"/>
        <v>  -   </v>
      </c>
      <c r="F184" s="361" t="str">
        <f t="shared" si="95"/>
        <v>  -   </v>
      </c>
      <c r="G184" s="361" t="str">
        <f t="shared" si="95"/>
        <v>  -   </v>
      </c>
      <c r="H184" s="361" t="str">
        <f t="shared" si="95"/>
        <v>  -   </v>
      </c>
      <c r="I184" s="361" t="str">
        <f t="shared" si="95"/>
        <v>  -   </v>
      </c>
      <c r="J184" s="361" t="str">
        <f t="shared" si="95"/>
        <v>  -   </v>
      </c>
      <c r="K184" s="111"/>
      <c r="L184" s="111"/>
    </row>
    <row r="185" ht="14.25" customHeight="1">
      <c r="A185" s="73"/>
      <c r="B185" s="73"/>
      <c r="C185" s="73"/>
      <c r="D185" s="73"/>
      <c r="E185" s="73"/>
      <c r="F185" s="73"/>
      <c r="G185" s="73"/>
      <c r="H185" s="73"/>
      <c r="I185" s="73"/>
      <c r="J185" s="73"/>
      <c r="K185" s="111"/>
      <c r="L185" s="111"/>
    </row>
    <row r="186" ht="14.25" customHeight="1">
      <c r="A186" s="117" t="s">
        <v>646</v>
      </c>
      <c r="B186" s="117"/>
      <c r="C186" s="117"/>
      <c r="D186" s="73"/>
      <c r="E186" s="73"/>
      <c r="F186" s="73"/>
      <c r="G186" s="73"/>
      <c r="H186" s="73"/>
      <c r="I186" s="73"/>
      <c r="J186" s="73"/>
      <c r="K186" s="111"/>
      <c r="L186" s="111"/>
    </row>
    <row r="187" ht="14.25" customHeight="1">
      <c r="A187" s="117" t="s">
        <v>412</v>
      </c>
      <c r="B187" s="117"/>
      <c r="C187" s="73"/>
      <c r="D187" s="73"/>
      <c r="E187" s="73"/>
      <c r="F187" s="73"/>
      <c r="G187" s="73"/>
      <c r="H187" s="73"/>
      <c r="I187" s="73"/>
      <c r="J187" s="73"/>
      <c r="K187" s="111"/>
      <c r="L187" s="111"/>
    </row>
    <row r="188" ht="14.25" customHeight="1">
      <c r="A188" s="73" t="str">
        <f t="shared" ref="A188:A190" si="97">A178</f>
        <v>Soybean</v>
      </c>
      <c r="B188" s="73" t="s">
        <v>644</v>
      </c>
      <c r="C188" s="116">
        <v>4500.0</v>
      </c>
      <c r="D188" s="116" t="str">
        <f t="shared" ref="D188:J188" si="96">(B68)*$C188*D$172</f>
        <v>  -   </v>
      </c>
      <c r="E188" s="116" t="str">
        <f t="shared" si="96"/>
        <v>  -   </v>
      </c>
      <c r="F188" s="116" t="str">
        <f t="shared" si="96"/>
        <v>  -   </v>
      </c>
      <c r="G188" s="116" t="str">
        <f t="shared" si="96"/>
        <v>  -   </v>
      </c>
      <c r="H188" s="116" t="str">
        <f t="shared" si="96"/>
        <v>  -   </v>
      </c>
      <c r="I188" s="116" t="str">
        <f t="shared" si="96"/>
        <v>  -   </v>
      </c>
      <c r="J188" s="116" t="str">
        <f t="shared" si="96"/>
        <v>  -   </v>
      </c>
      <c r="K188" s="111"/>
      <c r="L188" s="111"/>
    </row>
    <row r="189" ht="14.25" customHeight="1">
      <c r="A189" s="73" t="str">
        <f t="shared" si="97"/>
        <v>Red Gram</v>
      </c>
      <c r="B189" s="73" t="s">
        <v>644</v>
      </c>
      <c r="C189" s="116">
        <v>5800.0</v>
      </c>
      <c r="D189" s="116" t="str">
        <f t="shared" ref="D189:J189" si="98">(B69)*$C189*D$172</f>
        <v>  -   </v>
      </c>
      <c r="E189" s="116" t="str">
        <f t="shared" si="98"/>
        <v>  -   </v>
      </c>
      <c r="F189" s="116" t="str">
        <f t="shared" si="98"/>
        <v>  -   </v>
      </c>
      <c r="G189" s="116" t="str">
        <f t="shared" si="98"/>
        <v>  -   </v>
      </c>
      <c r="H189" s="116" t="str">
        <f t="shared" si="98"/>
        <v>  -   </v>
      </c>
      <c r="I189" s="116" t="str">
        <f t="shared" si="98"/>
        <v>  -   </v>
      </c>
      <c r="J189" s="116" t="str">
        <f t="shared" si="98"/>
        <v>  -   </v>
      </c>
      <c r="K189" s="111"/>
      <c r="L189" s="111"/>
    </row>
    <row r="190" ht="14.25" customHeight="1">
      <c r="A190" s="73" t="str">
        <f t="shared" si="97"/>
        <v>Bengal Gram</v>
      </c>
      <c r="B190" s="73" t="s">
        <v>644</v>
      </c>
      <c r="C190" s="116">
        <v>5000.0</v>
      </c>
      <c r="D190" s="116" t="str">
        <f t="shared" ref="D190:J190" si="99">(B78)*$C190*D$172</f>
        <v>  -   </v>
      </c>
      <c r="E190" s="116" t="str">
        <f t="shared" si="99"/>
        <v>  -   </v>
      </c>
      <c r="F190" s="116" t="str">
        <f t="shared" si="99"/>
        <v>  -   </v>
      </c>
      <c r="G190" s="116" t="str">
        <f t="shared" si="99"/>
        <v>  -   </v>
      </c>
      <c r="H190" s="116" t="str">
        <f t="shared" si="99"/>
        <v>  -   </v>
      </c>
      <c r="I190" s="116" t="str">
        <f t="shared" si="99"/>
        <v>  -   </v>
      </c>
      <c r="J190" s="116" t="str">
        <f t="shared" si="99"/>
        <v>  -   </v>
      </c>
      <c r="K190" s="111"/>
      <c r="L190" s="111"/>
    </row>
    <row r="191" ht="14.25" customHeight="1">
      <c r="A191" s="73" t="s">
        <v>647</v>
      </c>
      <c r="B191" s="73">
        <v>5.0</v>
      </c>
      <c r="C191" s="73">
        <v>300.0</v>
      </c>
      <c r="D191" s="116" t="str">
        <f t="shared" ref="D191:J191" si="100">B10*$B$191*$C$191*D172</f>
        <v>  -   </v>
      </c>
      <c r="E191" s="116" t="str">
        <f t="shared" si="100"/>
        <v>  -   </v>
      </c>
      <c r="F191" s="116" t="str">
        <f t="shared" si="100"/>
        <v>  -   </v>
      </c>
      <c r="G191" s="116" t="str">
        <f t="shared" si="100"/>
        <v>  -   </v>
      </c>
      <c r="H191" s="116" t="str">
        <f t="shared" si="100"/>
        <v>  -   </v>
      </c>
      <c r="I191" s="116" t="str">
        <f t="shared" si="100"/>
        <v>  -   </v>
      </c>
      <c r="J191" s="116" t="str">
        <f t="shared" si="100"/>
        <v>  -   </v>
      </c>
      <c r="K191" s="111"/>
      <c r="L191" s="111"/>
    </row>
    <row r="192" ht="14.25" customHeight="1">
      <c r="A192" s="73" t="s">
        <v>648</v>
      </c>
      <c r="B192" s="73" t="str">
        <f>'2.Capex Details'!H51*0.746*8</f>
        <v>408.808</v>
      </c>
      <c r="C192" s="73">
        <v>8.0</v>
      </c>
      <c r="D192" s="116" t="str">
        <f t="shared" ref="D192:J192" si="101">B10*$B$192*$C$192*D172</f>
        <v>  -   </v>
      </c>
      <c r="E192" s="116" t="str">
        <f t="shared" si="101"/>
        <v>  -   </v>
      </c>
      <c r="F192" s="116" t="str">
        <f t="shared" si="101"/>
        <v>  -   </v>
      </c>
      <c r="G192" s="116" t="str">
        <f t="shared" si="101"/>
        <v>  -   </v>
      </c>
      <c r="H192" s="116" t="str">
        <f t="shared" si="101"/>
        <v>  -   </v>
      </c>
      <c r="I192" s="116" t="str">
        <f t="shared" si="101"/>
        <v>  -   </v>
      </c>
      <c r="J192" s="116" t="str">
        <f t="shared" si="101"/>
        <v>  -   </v>
      </c>
      <c r="K192" s="111"/>
      <c r="L192" s="111" t="str">
        <f>55*0.746</f>
        <v>41.03</v>
      </c>
    </row>
    <row r="193" ht="14.25" customHeight="1">
      <c r="A193" s="73" t="s">
        <v>649</v>
      </c>
      <c r="B193" s="73"/>
      <c r="C193" s="73"/>
      <c r="D193" s="116"/>
      <c r="E193" s="116"/>
      <c r="F193" s="116"/>
      <c r="G193" s="116"/>
      <c r="H193" s="116"/>
      <c r="I193" s="116"/>
      <c r="J193" s="116"/>
      <c r="K193" s="111"/>
      <c r="L193" s="111"/>
    </row>
    <row r="194" ht="14.25" customHeight="1">
      <c r="A194" s="73" t="s">
        <v>644</v>
      </c>
      <c r="B194" s="73"/>
      <c r="C194" s="73">
        <v>300.0</v>
      </c>
      <c r="D194" s="116" t="str">
        <f t="shared" ref="D194:J194" si="102">(SUM(B120:B130)/10)*$C$194*D172</f>
        <v>  -   </v>
      </c>
      <c r="E194" s="116" t="str">
        <f t="shared" si="102"/>
        <v>  -   </v>
      </c>
      <c r="F194" s="116" t="str">
        <f t="shared" si="102"/>
        <v>  -   </v>
      </c>
      <c r="G194" s="116" t="str">
        <f t="shared" si="102"/>
        <v>  -   </v>
      </c>
      <c r="H194" s="116" t="str">
        <f t="shared" si="102"/>
        <v>  -   </v>
      </c>
      <c r="I194" s="116" t="str">
        <f t="shared" si="102"/>
        <v>  -   </v>
      </c>
      <c r="J194" s="116" t="str">
        <f t="shared" si="102"/>
        <v>  -   </v>
      </c>
      <c r="K194" s="111"/>
      <c r="L194" s="111"/>
    </row>
    <row r="195" ht="14.25" customHeight="1">
      <c r="A195" s="73" t="s">
        <v>650</v>
      </c>
      <c r="B195" s="85"/>
      <c r="C195" s="73">
        <v>300.0</v>
      </c>
      <c r="D195" s="116" t="str">
        <f t="shared" ref="D195:J195" si="103">(SUM(B120:B130)/10)*$C$195*D172</f>
        <v>  -   </v>
      </c>
      <c r="E195" s="116" t="str">
        <f t="shared" si="103"/>
        <v>  -   </v>
      </c>
      <c r="F195" s="116" t="str">
        <f t="shared" si="103"/>
        <v>  -   </v>
      </c>
      <c r="G195" s="116" t="str">
        <f t="shared" si="103"/>
        <v>  -   </v>
      </c>
      <c r="H195" s="116" t="str">
        <f t="shared" si="103"/>
        <v>  -   </v>
      </c>
      <c r="I195" s="116" t="str">
        <f t="shared" si="103"/>
        <v>  -   </v>
      </c>
      <c r="J195" s="116" t="str">
        <f t="shared" si="103"/>
        <v>  -   </v>
      </c>
      <c r="K195" s="111"/>
      <c r="L195" s="111"/>
    </row>
    <row r="196" ht="14.25" customHeight="1">
      <c r="A196" s="85"/>
      <c r="B196" s="85"/>
      <c r="C196" s="85"/>
      <c r="D196" s="168"/>
      <c r="E196" s="85"/>
      <c r="F196" s="85"/>
      <c r="G196" s="85"/>
      <c r="H196" s="85"/>
      <c r="I196" s="85"/>
      <c r="J196" s="85"/>
      <c r="K196" s="111" t="str">
        <f>63/0.746</f>
        <v>84.45040214</v>
      </c>
      <c r="L196" s="111"/>
    </row>
    <row r="197" ht="14.25" customHeight="1">
      <c r="A197" s="85"/>
      <c r="B197" s="85"/>
      <c r="C197" s="85"/>
      <c r="D197" s="85"/>
      <c r="E197" s="85"/>
      <c r="F197" s="85"/>
      <c r="G197" s="85"/>
      <c r="H197" s="85"/>
      <c r="I197" s="85"/>
      <c r="J197" s="85"/>
      <c r="K197" s="111"/>
      <c r="L197" s="111"/>
    </row>
    <row r="198" ht="14.25" customHeight="1">
      <c r="A198" s="73" t="s">
        <v>651</v>
      </c>
      <c r="B198" s="73"/>
      <c r="C198" s="73"/>
      <c r="D198" s="365"/>
      <c r="E198" s="365" t="str">
        <f>'5.Closing Stock &amp; W Capital'!F7</f>
        <v>  -   </v>
      </c>
      <c r="F198" s="365" t="str">
        <f>'5.Closing Stock &amp; W Capital'!G7</f>
        <v>  -   </v>
      </c>
      <c r="G198" s="365" t="str">
        <f>'5.Closing Stock &amp; W Capital'!H7</f>
        <v>  -   </v>
      </c>
      <c r="H198" s="365" t="str">
        <f>'5.Closing Stock &amp; W Capital'!I7</f>
        <v>  -   </v>
      </c>
      <c r="I198" s="365" t="str">
        <f>'5.Closing Stock &amp; W Capital'!J7</f>
        <v>  -   </v>
      </c>
      <c r="J198" s="365" t="str">
        <f>'5.Closing Stock &amp; W Capital'!K7</f>
        <v>  -   </v>
      </c>
      <c r="K198" s="111"/>
      <c r="L198" s="111"/>
    </row>
    <row r="199" ht="14.25" customHeight="1">
      <c r="A199" s="73" t="s">
        <v>652</v>
      </c>
      <c r="B199" s="73"/>
      <c r="C199" s="365"/>
      <c r="D199" s="365" t="str">
        <f>'5.Closing Stock &amp; W Capital'!E16</f>
        <v>  -   </v>
      </c>
      <c r="E199" s="365" t="str">
        <f>'5.Closing Stock &amp; W Capital'!F16</f>
        <v>  -   </v>
      </c>
      <c r="F199" s="365" t="str">
        <f>'5.Closing Stock &amp; W Capital'!G16</f>
        <v>  -   </v>
      </c>
      <c r="G199" s="365" t="str">
        <f>'5.Closing Stock &amp; W Capital'!H16</f>
        <v>  -   </v>
      </c>
      <c r="H199" s="365" t="str">
        <f>'5.Closing Stock &amp; W Capital'!I16</f>
        <v>  -   </v>
      </c>
      <c r="I199" s="365" t="str">
        <f>'5.Closing Stock &amp; W Capital'!J16</f>
        <v>  -   </v>
      </c>
      <c r="J199" s="365" t="str">
        <f>'5.Closing Stock &amp; W Capital'!K16</f>
        <v>  -   </v>
      </c>
      <c r="K199" s="111"/>
      <c r="L199" s="111"/>
    </row>
    <row r="200" ht="14.25" customHeight="1">
      <c r="A200" s="73"/>
      <c r="B200" s="73"/>
      <c r="C200" s="116"/>
      <c r="D200" s="365"/>
      <c r="E200" s="365"/>
      <c r="F200" s="365"/>
      <c r="G200" s="365"/>
      <c r="H200" s="365"/>
      <c r="I200" s="365"/>
      <c r="J200" s="365"/>
      <c r="K200" s="111"/>
      <c r="L200" s="111"/>
      <c r="M200" s="111"/>
      <c r="N200" s="111"/>
      <c r="O200" s="111"/>
      <c r="P200" s="111"/>
      <c r="Q200" s="111"/>
      <c r="R200" s="111"/>
      <c r="S200" s="111"/>
      <c r="T200" s="111"/>
    </row>
    <row r="201" ht="14.25" customHeight="1">
      <c r="A201" s="117" t="s">
        <v>413</v>
      </c>
      <c r="B201" s="117"/>
      <c r="C201" s="117"/>
      <c r="D201" s="118" t="str">
        <f t="shared" ref="D201:J201" si="104">SUM(D188:D198)-D199</f>
        <v>  -   </v>
      </c>
      <c r="E201" s="118" t="str">
        <f t="shared" si="104"/>
        <v>  -   </v>
      </c>
      <c r="F201" s="118" t="str">
        <f t="shared" si="104"/>
        <v>  -   </v>
      </c>
      <c r="G201" s="118" t="str">
        <f t="shared" si="104"/>
        <v>  -   </v>
      </c>
      <c r="H201" s="118" t="str">
        <f t="shared" si="104"/>
        <v>  -   </v>
      </c>
      <c r="I201" s="118" t="str">
        <f t="shared" si="104"/>
        <v>  -   </v>
      </c>
      <c r="J201" s="118" t="str">
        <f t="shared" si="104"/>
        <v>  -   </v>
      </c>
      <c r="K201" s="111"/>
      <c r="L201" s="111"/>
      <c r="M201" s="111"/>
      <c r="N201" s="111"/>
      <c r="O201" s="111"/>
      <c r="P201" s="111"/>
      <c r="Q201" s="111"/>
      <c r="R201" s="111"/>
      <c r="S201" s="111"/>
      <c r="T201" s="111"/>
    </row>
    <row r="202" ht="14.25" customHeight="1">
      <c r="A202" s="117" t="s">
        <v>414</v>
      </c>
      <c r="B202" s="73"/>
      <c r="C202" s="73"/>
      <c r="D202" s="293"/>
      <c r="E202" s="293"/>
      <c r="F202" s="293"/>
      <c r="G202" s="293"/>
      <c r="H202" s="293"/>
      <c r="I202" s="73"/>
      <c r="J202" s="73"/>
      <c r="K202" s="111"/>
      <c r="L202" s="111"/>
      <c r="M202" s="111"/>
      <c r="N202" s="111"/>
      <c r="O202" s="111"/>
      <c r="P202" s="111"/>
      <c r="Q202" s="111"/>
      <c r="R202" s="111"/>
      <c r="S202" s="111"/>
      <c r="T202" s="111"/>
    </row>
    <row r="203" ht="14.25" customHeight="1">
      <c r="A203" s="73" t="s">
        <v>653</v>
      </c>
      <c r="B203" s="73">
        <v>1.0</v>
      </c>
      <c r="C203" s="116"/>
      <c r="D203" s="116" t="str">
        <f t="shared" ref="D203:J203" si="105">$B203*$C203*12*D$172</f>
        <v>  -   </v>
      </c>
      <c r="E203" s="116" t="str">
        <f t="shared" si="105"/>
        <v>  -   </v>
      </c>
      <c r="F203" s="116" t="str">
        <f t="shared" si="105"/>
        <v>  -   </v>
      </c>
      <c r="G203" s="116" t="str">
        <f t="shared" si="105"/>
        <v>  -   </v>
      </c>
      <c r="H203" s="116" t="str">
        <f t="shared" si="105"/>
        <v>  -   </v>
      </c>
      <c r="I203" s="116" t="str">
        <f t="shared" si="105"/>
        <v>  -   </v>
      </c>
      <c r="J203" s="116" t="str">
        <f t="shared" si="105"/>
        <v>  -   </v>
      </c>
      <c r="K203" s="111"/>
      <c r="L203" s="111"/>
      <c r="M203" s="111"/>
      <c r="N203" s="111"/>
      <c r="O203" s="111"/>
      <c r="P203" s="111"/>
      <c r="Q203" s="111"/>
      <c r="R203" s="111"/>
      <c r="S203" s="111"/>
      <c r="T203" s="111"/>
    </row>
    <row r="204" ht="14.25" customHeight="1">
      <c r="A204" s="73"/>
      <c r="B204" s="73"/>
      <c r="C204" s="116"/>
      <c r="D204" s="116"/>
      <c r="E204" s="116"/>
      <c r="F204" s="116"/>
      <c r="G204" s="116"/>
      <c r="H204" s="116"/>
      <c r="I204" s="116"/>
      <c r="J204" s="116"/>
      <c r="K204" s="111"/>
      <c r="L204" s="111"/>
      <c r="M204" s="111"/>
      <c r="N204" s="111"/>
      <c r="O204" s="111"/>
      <c r="P204" s="111"/>
      <c r="Q204" s="111"/>
      <c r="R204" s="111"/>
      <c r="S204" s="111"/>
      <c r="T204" s="111"/>
    </row>
    <row r="205" ht="14.25" customHeight="1">
      <c r="A205" s="73"/>
      <c r="B205" s="73"/>
      <c r="C205" s="116"/>
      <c r="D205" s="116"/>
      <c r="E205" s="116"/>
      <c r="F205" s="116"/>
      <c r="G205" s="116"/>
      <c r="H205" s="116"/>
      <c r="I205" s="116"/>
      <c r="J205" s="116"/>
      <c r="K205" s="111"/>
      <c r="L205" s="111"/>
      <c r="M205" s="111"/>
      <c r="N205" s="111"/>
      <c r="O205" s="111"/>
      <c r="P205" s="111"/>
      <c r="Q205" s="111"/>
      <c r="R205" s="111"/>
      <c r="S205" s="111"/>
      <c r="T205" s="111"/>
    </row>
    <row r="206" ht="14.25" customHeight="1">
      <c r="A206" s="73"/>
      <c r="B206" s="73"/>
      <c r="C206" s="116"/>
      <c r="D206" s="116"/>
      <c r="E206" s="116"/>
      <c r="F206" s="116"/>
      <c r="G206" s="116"/>
      <c r="H206" s="116"/>
      <c r="I206" s="116"/>
      <c r="J206" s="116"/>
      <c r="K206" s="111"/>
      <c r="L206" s="111"/>
      <c r="M206" s="111"/>
      <c r="N206" s="111"/>
      <c r="O206" s="111"/>
      <c r="P206" s="111"/>
      <c r="Q206" s="111"/>
      <c r="R206" s="111"/>
      <c r="S206" s="111"/>
      <c r="T206" s="111"/>
    </row>
    <row r="207" ht="14.25" customHeight="1">
      <c r="A207" s="117" t="s">
        <v>416</v>
      </c>
      <c r="B207" s="117"/>
      <c r="C207" s="117"/>
      <c r="D207" s="118" t="str">
        <f t="shared" ref="D207:J207" si="106">SUM(D203:D206)</f>
        <v>  -   </v>
      </c>
      <c r="E207" s="118" t="str">
        <f t="shared" si="106"/>
        <v>  -   </v>
      </c>
      <c r="F207" s="118" t="str">
        <f t="shared" si="106"/>
        <v>  -   </v>
      </c>
      <c r="G207" s="118" t="str">
        <f t="shared" si="106"/>
        <v>  -   </v>
      </c>
      <c r="H207" s="118" t="str">
        <f t="shared" si="106"/>
        <v>  -   </v>
      </c>
      <c r="I207" s="118" t="str">
        <f t="shared" si="106"/>
        <v>  -   </v>
      </c>
      <c r="J207" s="118" t="str">
        <f t="shared" si="106"/>
        <v>  -   </v>
      </c>
      <c r="K207" s="111"/>
      <c r="L207" s="111"/>
      <c r="M207" s="111"/>
      <c r="N207" s="370"/>
      <c r="O207" s="111"/>
      <c r="P207" s="111"/>
      <c r="Q207" s="111"/>
      <c r="R207" s="111"/>
      <c r="S207" s="111"/>
      <c r="T207" s="111"/>
    </row>
    <row r="208" ht="14.25" customHeight="1">
      <c r="A208" s="117" t="s">
        <v>654</v>
      </c>
      <c r="B208" s="117"/>
      <c r="C208" s="117"/>
      <c r="D208" s="118" t="str">
        <f t="shared" ref="D208:J208" si="107">D201+D207</f>
        <v>  -   </v>
      </c>
      <c r="E208" s="118" t="str">
        <f t="shared" si="107"/>
        <v>  -   </v>
      </c>
      <c r="F208" s="118" t="str">
        <f t="shared" si="107"/>
        <v>  -   </v>
      </c>
      <c r="G208" s="118" t="str">
        <f t="shared" si="107"/>
        <v>  -   </v>
      </c>
      <c r="H208" s="118" t="str">
        <f t="shared" si="107"/>
        <v>  -   </v>
      </c>
      <c r="I208" s="118" t="str">
        <f t="shared" si="107"/>
        <v>  -   </v>
      </c>
      <c r="J208" s="118" t="str">
        <f t="shared" si="107"/>
        <v>  -   </v>
      </c>
      <c r="K208" s="111"/>
      <c r="L208" s="111"/>
      <c r="M208" s="111"/>
      <c r="N208" s="111"/>
      <c r="O208" s="111"/>
      <c r="P208" s="111"/>
      <c r="Q208" s="111"/>
      <c r="R208" s="111"/>
      <c r="S208" s="111"/>
      <c r="T208" s="111"/>
    </row>
    <row r="209" ht="14.25" customHeight="1">
      <c r="A209" s="73"/>
      <c r="B209" s="73"/>
      <c r="C209" s="73"/>
      <c r="D209" s="293"/>
      <c r="E209" s="293"/>
      <c r="F209" s="293"/>
      <c r="G209" s="293"/>
      <c r="H209" s="293"/>
      <c r="I209" s="73"/>
      <c r="J209" s="73"/>
      <c r="K209" s="111"/>
      <c r="L209" s="111"/>
      <c r="M209" s="111"/>
      <c r="N209" s="111"/>
      <c r="O209" s="111"/>
      <c r="P209" s="111"/>
      <c r="Q209" s="111"/>
      <c r="R209" s="111"/>
      <c r="S209" s="111"/>
      <c r="T209" s="111"/>
    </row>
    <row r="210" ht="14.25" customHeight="1">
      <c r="A210" s="117"/>
      <c r="B210" s="117"/>
      <c r="C210" s="117"/>
      <c r="D210" s="293"/>
      <c r="E210" s="293"/>
      <c r="F210" s="293"/>
      <c r="G210" s="293"/>
      <c r="H210" s="293"/>
      <c r="I210" s="73"/>
      <c r="J210" s="73"/>
      <c r="K210" s="111"/>
      <c r="L210" s="111"/>
      <c r="M210" s="111"/>
      <c r="N210" s="111"/>
      <c r="O210" s="111"/>
      <c r="P210" s="111"/>
      <c r="Q210" s="111"/>
      <c r="R210" s="111"/>
      <c r="S210" s="111"/>
      <c r="T210" s="111"/>
    </row>
    <row r="211" ht="14.25" customHeight="1">
      <c r="A211" s="117" t="s">
        <v>655</v>
      </c>
      <c r="B211" s="117"/>
      <c r="C211" s="117"/>
      <c r="D211" s="118" t="str">
        <f t="shared" ref="D211:J211" si="108">D184-D208</f>
        <v>  -   </v>
      </c>
      <c r="E211" s="118" t="str">
        <f t="shared" si="108"/>
        <v>  -   </v>
      </c>
      <c r="F211" s="118" t="str">
        <f t="shared" si="108"/>
        <v>  -   </v>
      </c>
      <c r="G211" s="118" t="str">
        <f t="shared" si="108"/>
        <v>  -   </v>
      </c>
      <c r="H211" s="118" t="str">
        <f t="shared" si="108"/>
        <v>  -   </v>
      </c>
      <c r="I211" s="118" t="str">
        <f t="shared" si="108"/>
        <v>  -   </v>
      </c>
      <c r="J211" s="118" t="str">
        <f t="shared" si="108"/>
        <v>  -   </v>
      </c>
      <c r="K211" s="111"/>
      <c r="L211" s="111"/>
      <c r="M211" s="111"/>
      <c r="N211" s="111"/>
      <c r="O211" s="111"/>
      <c r="P211" s="111"/>
      <c r="Q211" s="111"/>
      <c r="R211" s="111"/>
      <c r="S211" s="111"/>
      <c r="T211" s="111"/>
    </row>
    <row r="212" ht="14.25" customHeight="1">
      <c r="A212" s="111"/>
      <c r="B212" s="111"/>
      <c r="C212" s="111"/>
      <c r="D212" s="111"/>
      <c r="E212" s="111"/>
      <c r="F212" s="111"/>
      <c r="G212" s="111"/>
      <c r="H212" s="111"/>
      <c r="I212" s="111"/>
      <c r="J212" s="111"/>
    </row>
    <row r="213" ht="14.25" customHeight="1">
      <c r="A213" s="111" t="s">
        <v>656</v>
      </c>
      <c r="B213" s="111"/>
      <c r="C213" s="111"/>
      <c r="D213" s="111"/>
      <c r="E213" s="111"/>
      <c r="F213" s="111"/>
      <c r="G213" s="111"/>
      <c r="H213" s="111"/>
      <c r="I213" s="111"/>
      <c r="J213" s="111"/>
    </row>
    <row r="214" ht="14.25" customHeight="1">
      <c r="A214" s="24" t="s">
        <v>657</v>
      </c>
    </row>
    <row r="215" ht="14.25" customHeight="1"/>
    <row r="216" ht="14.25" customHeight="1">
      <c r="A216" t="s">
        <v>369</v>
      </c>
    </row>
    <row r="217" ht="14.25" customHeight="1">
      <c r="A217">
        <v>1.0</v>
      </c>
      <c r="B217" t="s">
        <v>658</v>
      </c>
    </row>
    <row r="218" ht="14.25" customHeight="1">
      <c r="A218">
        <v>2.0</v>
      </c>
      <c r="B218" t="s">
        <v>659</v>
      </c>
    </row>
    <row r="219" ht="14.25" customHeight="1">
      <c r="A219">
        <v>3.0</v>
      </c>
      <c r="B219" s="111" t="s">
        <v>660</v>
      </c>
    </row>
  </sheetData>
  <mergeCells count="5">
    <mergeCell ref="A170:J170"/>
    <mergeCell ref="A2:H2"/>
    <mergeCell ref="A214:J214"/>
    <mergeCell ref="F4:H4"/>
    <mergeCell ref="A3:H3"/>
  </mergeCells>
  <printOptions/>
  <pageMargins bottom="0.75" footer="0.0" header="0.0" left="0.7" right="0.7" top="0.75"/>
  <pageSetup paperSize="9" scale="52" orientation="portrait"/>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1.71"/>
    <col customWidth="1" min="2" max="3" width="10.57"/>
    <col customWidth="1" min="4" max="4" width="15.14"/>
    <col customWidth="1" min="5" max="8" width="17.29"/>
    <col customWidth="1" min="9" max="10" width="16.86"/>
    <col customWidth="1" min="11" max="12" width="11.71"/>
    <col customWidth="1" min="13" max="14" width="8.71"/>
    <col customWidth="1" min="15" max="15" width="10.14"/>
    <col customWidth="1" min="16" max="20" width="8.71"/>
  </cols>
  <sheetData>
    <row r="1" ht="14.25" customHeight="1"/>
    <row r="2" ht="14.25" customHeight="1"/>
    <row r="3" ht="14.25" customHeight="1">
      <c r="A3" s="25" t="s">
        <v>661</v>
      </c>
    </row>
    <row r="4" ht="14.25" customHeight="1">
      <c r="A4" s="25" t="s">
        <v>662</v>
      </c>
    </row>
    <row r="5" ht="14.25" customHeight="1">
      <c r="A5" s="111" t="s">
        <v>133</v>
      </c>
      <c r="B5" s="358">
        <v>5.0</v>
      </c>
      <c r="C5" s="111" t="s">
        <v>663</v>
      </c>
      <c r="D5" s="111"/>
      <c r="E5" s="111"/>
      <c r="F5" s="111"/>
      <c r="G5" s="111"/>
      <c r="H5" s="111"/>
    </row>
    <row r="6" ht="14.25" customHeight="1">
      <c r="A6" s="111" t="s">
        <v>631</v>
      </c>
      <c r="B6" s="189">
        <v>8.0</v>
      </c>
      <c r="C6" s="111"/>
      <c r="D6" s="111"/>
      <c r="E6" s="111"/>
      <c r="F6" s="111"/>
      <c r="G6" s="111"/>
      <c r="H6" s="111"/>
    </row>
    <row r="7" ht="14.25" customHeight="1">
      <c r="A7" s="111"/>
      <c r="B7" s="189"/>
      <c r="C7" s="111"/>
      <c r="D7" s="111"/>
      <c r="E7" s="111"/>
      <c r="F7" s="111"/>
      <c r="G7" s="111"/>
      <c r="H7" s="111"/>
    </row>
    <row r="8" ht="14.25" customHeight="1">
      <c r="A8" s="111"/>
      <c r="B8" s="189"/>
      <c r="C8" s="111"/>
      <c r="D8" s="111"/>
      <c r="E8" s="111"/>
      <c r="F8" s="111"/>
      <c r="G8" s="111"/>
      <c r="H8" s="111"/>
    </row>
    <row r="9" ht="14.25" customHeight="1">
      <c r="A9" s="111"/>
      <c r="B9" s="111"/>
      <c r="C9" s="111"/>
      <c r="D9" s="111"/>
      <c r="E9" s="111"/>
      <c r="F9" s="111"/>
      <c r="G9" s="111"/>
      <c r="H9" s="111"/>
    </row>
    <row r="10" ht="14.25" customHeight="1">
      <c r="A10" s="111" t="s">
        <v>664</v>
      </c>
      <c r="B10" s="371" t="str">
        <f>AVERAGE(B12:H12)</f>
        <v>231</v>
      </c>
      <c r="C10" s="111"/>
      <c r="D10" s="111"/>
      <c r="E10" s="111"/>
      <c r="F10" s="111"/>
      <c r="G10" s="111"/>
      <c r="H10" s="111"/>
    </row>
    <row r="11" ht="14.25" customHeight="1">
      <c r="A11" s="198" t="s">
        <v>190</v>
      </c>
      <c r="B11" s="199" t="s">
        <v>193</v>
      </c>
      <c r="C11" s="199" t="s">
        <v>194</v>
      </c>
      <c r="D11" s="199" t="s">
        <v>195</v>
      </c>
      <c r="E11" s="199" t="s">
        <v>196</v>
      </c>
      <c r="F11" s="199" t="s">
        <v>197</v>
      </c>
      <c r="G11" s="199" t="s">
        <v>198</v>
      </c>
      <c r="H11" s="199" t="s">
        <v>199</v>
      </c>
    </row>
    <row r="12" ht="14.25" customHeight="1">
      <c r="A12" s="73" t="s">
        <v>665</v>
      </c>
      <c r="B12" s="372" t="str">
        <f t="shared" ref="B12:H12" si="1">B32/($B$5*$B$6)</f>
        <v>154</v>
      </c>
      <c r="C12" s="372" t="str">
        <f t="shared" si="1"/>
        <v>180</v>
      </c>
      <c r="D12" s="372" t="str">
        <f t="shared" si="1"/>
        <v>205</v>
      </c>
      <c r="E12" s="372" t="str">
        <f t="shared" si="1"/>
        <v>231</v>
      </c>
      <c r="F12" s="372" t="str">
        <f t="shared" si="1"/>
        <v>257</v>
      </c>
      <c r="G12" s="372" t="str">
        <f t="shared" si="1"/>
        <v>282</v>
      </c>
      <c r="H12" s="372" t="str">
        <f t="shared" si="1"/>
        <v>308</v>
      </c>
    </row>
    <row r="13" ht="14.25" customHeight="1">
      <c r="A13" s="73" t="str">
        <f>'10.Grain Production details'!A67</f>
        <v>Soybean</v>
      </c>
      <c r="B13" s="73" t="str">
        <f>'10.Grain Production details'!B67</f>
        <v>0</v>
      </c>
      <c r="C13" s="73" t="str">
        <f>'10.Grain Production details'!C67</f>
        <v>0</v>
      </c>
      <c r="D13" s="73" t="str">
        <f>'10.Grain Production details'!D67</f>
        <v>0</v>
      </c>
      <c r="E13" s="73" t="str">
        <f>'10.Grain Production details'!E67</f>
        <v>0</v>
      </c>
      <c r="F13" s="73" t="str">
        <f>'10.Grain Production details'!F67</f>
        <v>0</v>
      </c>
      <c r="G13" s="73" t="str">
        <f>'10.Grain Production details'!G67</f>
        <v>0</v>
      </c>
      <c r="H13" s="73" t="str">
        <f>'10.Grain Production details'!H67</f>
        <v>0</v>
      </c>
    </row>
    <row r="14" ht="14.25" customHeight="1">
      <c r="A14" s="73" t="str">
        <f>'10.Grain Production details'!A68</f>
        <v>Red Gram/Tur</v>
      </c>
      <c r="B14" s="73" t="str">
        <f>'10.Grain Production details'!B68</f>
        <v>2693.25</v>
      </c>
      <c r="C14" s="73" t="str">
        <f>'10.Grain Production details'!C68</f>
        <v>3142.125</v>
      </c>
      <c r="D14" s="73" t="str">
        <f>'10.Grain Production details'!D68</f>
        <v>3591</v>
      </c>
      <c r="E14" s="73" t="str">
        <f>'10.Grain Production details'!E68</f>
        <v>4039.875</v>
      </c>
      <c r="F14" s="73" t="str">
        <f>'10.Grain Production details'!F68</f>
        <v>4488.75</v>
      </c>
      <c r="G14" s="73" t="str">
        <f>'10.Grain Production details'!G68</f>
        <v>4937.625</v>
      </c>
      <c r="H14" s="73" t="str">
        <f>'10.Grain Production details'!H68</f>
        <v>5386.5</v>
      </c>
    </row>
    <row r="15" ht="14.25" hidden="1" customHeight="1">
      <c r="A15" s="73" t="str">
        <f>'10.Grain Production details'!A69</f>
        <v>Paddy/Rice</v>
      </c>
      <c r="B15" s="73" t="str">
        <f>'10.Grain Production details'!B69</f>
        <v>0</v>
      </c>
      <c r="C15" s="73" t="str">
        <f>'10.Grain Production details'!C69</f>
        <v>0</v>
      </c>
      <c r="D15" s="73" t="str">
        <f>'10.Grain Production details'!D69</f>
        <v>0</v>
      </c>
      <c r="E15" s="73" t="str">
        <f>'10.Grain Production details'!E69</f>
        <v>0</v>
      </c>
      <c r="F15" s="73" t="str">
        <f>'10.Grain Production details'!F69</f>
        <v>0</v>
      </c>
      <c r="G15" s="73" t="str">
        <f>'10.Grain Production details'!G69</f>
        <v>0</v>
      </c>
      <c r="H15" s="73" t="str">
        <f>'10.Grain Production details'!H69</f>
        <v>0</v>
      </c>
    </row>
    <row r="16" ht="14.25" customHeight="1">
      <c r="A16" s="73" t="str">
        <f>'10.Grain Production details'!A70</f>
        <v>Green Gram/ Moong</v>
      </c>
      <c r="B16" s="73" t="str">
        <f>'10.Grain Production details'!B70</f>
        <v>897.75</v>
      </c>
      <c r="C16" s="73" t="str">
        <f>'10.Grain Production details'!C70</f>
        <v>1047.375</v>
      </c>
      <c r="D16" s="73" t="str">
        <f>'10.Grain Production details'!D70</f>
        <v>1197</v>
      </c>
      <c r="E16" s="73" t="str">
        <f>'10.Grain Production details'!E70</f>
        <v>1346.625</v>
      </c>
      <c r="F16" s="73" t="str">
        <f>'10.Grain Production details'!F70</f>
        <v>1496.25</v>
      </c>
      <c r="G16" s="73" t="str">
        <f>'10.Grain Production details'!G70</f>
        <v>1645.875</v>
      </c>
      <c r="H16" s="73" t="str">
        <f>'10.Grain Production details'!H70</f>
        <v>1795.5</v>
      </c>
    </row>
    <row r="17" ht="14.25" hidden="1" customHeight="1">
      <c r="A17" s="73" t="str">
        <f>'10.Grain Production details'!A71</f>
        <v>Maize</v>
      </c>
      <c r="B17" s="73" t="str">
        <f>'10.Grain Production details'!B71</f>
        <v>0</v>
      </c>
      <c r="C17" s="73" t="str">
        <f>'10.Grain Production details'!C71</f>
        <v>0</v>
      </c>
      <c r="D17" s="73" t="str">
        <f>'10.Grain Production details'!D71</f>
        <v>0</v>
      </c>
      <c r="E17" s="73" t="str">
        <f>'10.Grain Production details'!E71</f>
        <v>0</v>
      </c>
      <c r="F17" s="73" t="str">
        <f>'10.Grain Production details'!F71</f>
        <v>0</v>
      </c>
      <c r="G17" s="73" t="str">
        <f>'10.Grain Production details'!G71</f>
        <v>0</v>
      </c>
      <c r="H17" s="73" t="str">
        <f>'10.Grain Production details'!H71</f>
        <v>0</v>
      </c>
    </row>
    <row r="18" ht="14.25" customHeight="1">
      <c r="A18" s="73" t="str">
        <f>'10.Grain Production details'!A72</f>
        <v>Black Gram/Udid</v>
      </c>
      <c r="B18" s="73" t="str">
        <f>'10.Grain Production details'!B72</f>
        <v>769.5</v>
      </c>
      <c r="C18" s="73" t="str">
        <f>'10.Grain Production details'!C72</f>
        <v>897.75</v>
      </c>
      <c r="D18" s="73" t="str">
        <f>'10.Grain Production details'!D72</f>
        <v>1026</v>
      </c>
      <c r="E18" s="73" t="str">
        <f>'10.Grain Production details'!E72</f>
        <v>1154.25</v>
      </c>
      <c r="F18" s="73" t="str">
        <f>'10.Grain Production details'!F72</f>
        <v>1282.5</v>
      </c>
      <c r="G18" s="73" t="str">
        <f>'10.Grain Production details'!G72</f>
        <v>1410.75</v>
      </c>
      <c r="H18" s="73" t="str">
        <f>'10.Grain Production details'!H72</f>
        <v>1539</v>
      </c>
    </row>
    <row r="19" ht="14.25" hidden="1" customHeight="1">
      <c r="A19" s="73" t="str">
        <f>'10.Grain Production details'!A73</f>
        <v>Bajra</v>
      </c>
      <c r="B19" s="73" t="str">
        <f>'10.Grain Production details'!B73</f>
        <v>0</v>
      </c>
      <c r="C19" s="73" t="str">
        <f>'10.Grain Production details'!C73</f>
        <v>0</v>
      </c>
      <c r="D19" s="73" t="str">
        <f>'10.Grain Production details'!D73</f>
        <v>0</v>
      </c>
      <c r="E19" s="73" t="str">
        <f>'10.Grain Production details'!E73</f>
        <v>0</v>
      </c>
      <c r="F19" s="73" t="str">
        <f>'10.Grain Production details'!F73</f>
        <v>0</v>
      </c>
      <c r="G19" s="73" t="str">
        <f>'10.Grain Production details'!G73</f>
        <v>0</v>
      </c>
      <c r="H19" s="73" t="str">
        <f>'10.Grain Production details'!H73</f>
        <v>0</v>
      </c>
    </row>
    <row r="20" ht="14.25" hidden="1" customHeight="1">
      <c r="A20" s="73" t="str">
        <f>'10.Grain Production details'!A74</f>
        <v>Jawar</v>
      </c>
      <c r="B20" s="73" t="str">
        <f>'10.Grain Production details'!B74</f>
        <v>0</v>
      </c>
      <c r="C20" s="73" t="str">
        <f>'10.Grain Production details'!C74</f>
        <v>0</v>
      </c>
      <c r="D20" s="73" t="str">
        <f>'10.Grain Production details'!D74</f>
        <v>0</v>
      </c>
      <c r="E20" s="73" t="str">
        <f>'10.Grain Production details'!E74</f>
        <v>0</v>
      </c>
      <c r="F20" s="73" t="str">
        <f>'10.Grain Production details'!F74</f>
        <v>0</v>
      </c>
      <c r="G20" s="73" t="str">
        <f>'10.Grain Production details'!G74</f>
        <v>0</v>
      </c>
      <c r="H20" s="73" t="str">
        <f>'10.Grain Production details'!H74</f>
        <v>0</v>
      </c>
    </row>
    <row r="21" ht="14.25" hidden="1" customHeight="1">
      <c r="A21" s="73" t="str">
        <f>'10.Grain Production details'!A75</f>
        <v>Sunflower</v>
      </c>
      <c r="B21" s="73" t="str">
        <f>'10.Grain Production details'!B75</f>
        <v>0</v>
      </c>
      <c r="C21" s="73" t="str">
        <f>'10.Grain Production details'!C75</f>
        <v>0</v>
      </c>
      <c r="D21" s="73" t="str">
        <f>'10.Grain Production details'!D75</f>
        <v>0</v>
      </c>
      <c r="E21" s="73" t="str">
        <f>'10.Grain Production details'!E75</f>
        <v>0</v>
      </c>
      <c r="F21" s="73" t="str">
        <f>'10.Grain Production details'!F75</f>
        <v>0</v>
      </c>
      <c r="G21" s="73" t="str">
        <f>'10.Grain Production details'!G75</f>
        <v>0</v>
      </c>
      <c r="H21" s="73" t="str">
        <f>'10.Grain Production details'!H75</f>
        <v>0</v>
      </c>
    </row>
    <row r="22" ht="14.25" hidden="1" customHeight="1">
      <c r="A22" s="73" t="str">
        <f>'10.Grain Production details'!A76</f>
        <v>Wheat</v>
      </c>
      <c r="B22" s="73" t="str">
        <f>'10.Grain Production details'!B76</f>
        <v>0</v>
      </c>
      <c r="C22" s="73" t="str">
        <f>'10.Grain Production details'!C76</f>
        <v>0</v>
      </c>
      <c r="D22" s="73" t="str">
        <f>'10.Grain Production details'!D76</f>
        <v>0</v>
      </c>
      <c r="E22" s="73" t="str">
        <f>'10.Grain Production details'!E76</f>
        <v>0</v>
      </c>
      <c r="F22" s="73" t="str">
        <f>'10.Grain Production details'!F76</f>
        <v>0</v>
      </c>
      <c r="G22" s="73" t="str">
        <f>'10.Grain Production details'!G76</f>
        <v>0</v>
      </c>
      <c r="H22" s="73" t="str">
        <f>'10.Grain Production details'!H76</f>
        <v>0</v>
      </c>
    </row>
    <row r="23" ht="14.25" customHeight="1">
      <c r="A23" s="73" t="str">
        <f>'10.Grain Production details'!A77</f>
        <v>Bengal Gram/Channa</v>
      </c>
      <c r="B23" s="73" t="str">
        <f>'10.Grain Production details'!B77</f>
        <v>1795.5</v>
      </c>
      <c r="C23" s="73" t="str">
        <f>'10.Grain Production details'!C77</f>
        <v>2094.75</v>
      </c>
      <c r="D23" s="73" t="str">
        <f>'10.Grain Production details'!D77</f>
        <v>2394</v>
      </c>
      <c r="E23" s="73" t="str">
        <f>'10.Grain Production details'!E77</f>
        <v>2693.25</v>
      </c>
      <c r="F23" s="73" t="str">
        <f>'10.Grain Production details'!F77</f>
        <v>2992.5</v>
      </c>
      <c r="G23" s="73" t="str">
        <f>'10.Grain Production details'!G77</f>
        <v>3291.75</v>
      </c>
      <c r="H23" s="73" t="str">
        <f>'10.Grain Production details'!H77</f>
        <v>3591</v>
      </c>
    </row>
    <row r="24" ht="14.25" hidden="1" customHeight="1">
      <c r="A24" s="73" t="str">
        <f>'10.Grain Production details'!A78</f>
        <v>Jawar</v>
      </c>
      <c r="B24" s="73" t="str">
        <f>'10.Grain Production details'!B78</f>
        <v>0</v>
      </c>
      <c r="C24" s="73" t="str">
        <f>'10.Grain Production details'!C78</f>
        <v>0</v>
      </c>
      <c r="D24" s="73" t="str">
        <f>'10.Grain Production details'!D78</f>
        <v>0</v>
      </c>
      <c r="E24" s="73" t="str">
        <f>'10.Grain Production details'!E78</f>
        <v>0</v>
      </c>
      <c r="F24" s="73" t="str">
        <f>'10.Grain Production details'!F78</f>
        <v>0</v>
      </c>
      <c r="G24" s="73" t="str">
        <f>'10.Grain Production details'!G78</f>
        <v>0</v>
      </c>
      <c r="H24" s="73" t="str">
        <f>'10.Grain Production details'!H78</f>
        <v>0</v>
      </c>
    </row>
    <row r="25" ht="14.25" hidden="1" customHeight="1">
      <c r="A25" s="73" t="str">
        <f>'10.Grain Production details'!A79</f>
        <v>Maize</v>
      </c>
      <c r="B25" s="73" t="str">
        <f>'10.Grain Production details'!B79</f>
        <v>0</v>
      </c>
      <c r="C25" s="73" t="str">
        <f>'10.Grain Production details'!C79</f>
        <v>0</v>
      </c>
      <c r="D25" s="73" t="str">
        <f>'10.Grain Production details'!D79</f>
        <v>0</v>
      </c>
      <c r="E25" s="73" t="str">
        <f>'10.Grain Production details'!E79</f>
        <v>0</v>
      </c>
      <c r="F25" s="73" t="str">
        <f>'10.Grain Production details'!F79</f>
        <v>0</v>
      </c>
      <c r="G25" s="73" t="str">
        <f>'10.Grain Production details'!G79</f>
        <v>0</v>
      </c>
      <c r="H25" s="73" t="str">
        <f>'10.Grain Production details'!H79</f>
        <v>0</v>
      </c>
    </row>
    <row r="26" ht="14.25" hidden="1" customHeight="1">
      <c r="A26" s="73" t="str">
        <f>'10.Grain Production details'!A80</f>
        <v>Safflower</v>
      </c>
      <c r="B26" s="73" t="str">
        <f>'10.Grain Production details'!B80</f>
        <v>0</v>
      </c>
      <c r="C26" s="73" t="str">
        <f>'10.Grain Production details'!C80</f>
        <v>0</v>
      </c>
      <c r="D26" s="73" t="str">
        <f>'10.Grain Production details'!D80</f>
        <v>0</v>
      </c>
      <c r="E26" s="73" t="str">
        <f>'10.Grain Production details'!E80</f>
        <v>0</v>
      </c>
      <c r="F26" s="73" t="str">
        <f>'10.Grain Production details'!F80</f>
        <v>0</v>
      </c>
      <c r="G26" s="73" t="str">
        <f>'10.Grain Production details'!G80</f>
        <v>0</v>
      </c>
      <c r="H26" s="73" t="str">
        <f>'10.Grain Production details'!H80</f>
        <v>0</v>
      </c>
    </row>
    <row r="27" ht="14.25" hidden="1" customHeight="1">
      <c r="A27" s="73" t="str">
        <f>'10.Grain Production details'!A81</f>
        <v/>
      </c>
      <c r="B27" s="73" t="str">
        <f>'10.Grain Production details'!B81</f>
        <v>0</v>
      </c>
      <c r="C27" s="73" t="str">
        <f>'10.Grain Production details'!C81</f>
        <v>0</v>
      </c>
      <c r="D27" s="73" t="str">
        <f>'10.Grain Production details'!D81</f>
        <v>0</v>
      </c>
      <c r="E27" s="73" t="str">
        <f>'10.Grain Production details'!E81</f>
        <v>0</v>
      </c>
      <c r="F27" s="73" t="str">
        <f>'10.Grain Production details'!F81</f>
        <v>0</v>
      </c>
      <c r="G27" s="73" t="str">
        <f>'10.Grain Production details'!G81</f>
        <v>0</v>
      </c>
      <c r="H27" s="73" t="str">
        <f>'10.Grain Production details'!H81</f>
        <v>0</v>
      </c>
    </row>
    <row r="28" ht="14.25" hidden="1" customHeight="1">
      <c r="A28" s="73" t="str">
        <f>'10.Grain Production details'!A82</f>
        <v/>
      </c>
      <c r="B28" s="73" t="str">
        <f>'10.Grain Production details'!B82</f>
        <v>0</v>
      </c>
      <c r="C28" s="73" t="str">
        <f>'10.Grain Production details'!C82</f>
        <v>0</v>
      </c>
      <c r="D28" s="73" t="str">
        <f>'10.Grain Production details'!D82</f>
        <v>0</v>
      </c>
      <c r="E28" s="73" t="str">
        <f>'10.Grain Production details'!E82</f>
        <v>0</v>
      </c>
      <c r="F28" s="73" t="str">
        <f>'10.Grain Production details'!F82</f>
        <v>0</v>
      </c>
      <c r="G28" s="73" t="str">
        <f>'10.Grain Production details'!G82</f>
        <v>0</v>
      </c>
      <c r="H28" s="73" t="str">
        <f>'10.Grain Production details'!H82</f>
        <v>0</v>
      </c>
    </row>
    <row r="29" ht="14.25" hidden="1" customHeight="1">
      <c r="A29" s="73" t="str">
        <f>'10.Grain Production details'!A83</f>
        <v/>
      </c>
      <c r="B29" s="73" t="str">
        <f>'10.Grain Production details'!B83</f>
        <v>0</v>
      </c>
      <c r="C29" s="73" t="str">
        <f>'10.Grain Production details'!C83</f>
        <v>0</v>
      </c>
      <c r="D29" s="73" t="str">
        <f>'10.Grain Production details'!D83</f>
        <v>0</v>
      </c>
      <c r="E29" s="73" t="str">
        <f>'10.Grain Production details'!E83</f>
        <v>0</v>
      </c>
      <c r="F29" s="73" t="str">
        <f>'10.Grain Production details'!F83</f>
        <v>0</v>
      </c>
      <c r="G29" s="73" t="str">
        <f>'10.Grain Production details'!G83</f>
        <v>0</v>
      </c>
      <c r="H29" s="73" t="str">
        <f>'10.Grain Production details'!H83</f>
        <v>0</v>
      </c>
    </row>
    <row r="30" ht="14.25" hidden="1" customHeight="1">
      <c r="A30" s="73" t="str">
        <f>'10.Grain Production details'!A84</f>
        <v>Groundnut</v>
      </c>
      <c r="B30" s="73" t="str">
        <f>'10.Grain Production details'!B84</f>
        <v>0</v>
      </c>
      <c r="C30" s="73" t="str">
        <f>'10.Grain Production details'!C84</f>
        <v>0</v>
      </c>
      <c r="D30" s="73" t="str">
        <f>'10.Grain Production details'!D84</f>
        <v>0</v>
      </c>
      <c r="E30" s="73" t="str">
        <f>'10.Grain Production details'!E84</f>
        <v>0</v>
      </c>
      <c r="F30" s="73" t="str">
        <f>'10.Grain Production details'!F84</f>
        <v>0</v>
      </c>
      <c r="G30" s="73" t="str">
        <f>'10.Grain Production details'!G84</f>
        <v>0</v>
      </c>
      <c r="H30" s="73" t="str">
        <f>'10.Grain Production details'!H84</f>
        <v>0</v>
      </c>
    </row>
    <row r="31" ht="14.25" customHeight="1">
      <c r="A31" s="73" t="str">
        <f>'10.Grain Production details'!A85</f>
        <v/>
      </c>
      <c r="B31" s="73" t="str">
        <f>'10.Grain Production details'!B85</f>
        <v>0</v>
      </c>
      <c r="C31" s="73" t="str">
        <f>'10.Grain Production details'!C85</f>
        <v>0</v>
      </c>
      <c r="D31" s="73" t="str">
        <f>'10.Grain Production details'!D85</f>
        <v>0</v>
      </c>
      <c r="E31" s="73" t="str">
        <f>'10.Grain Production details'!E85</f>
        <v>0</v>
      </c>
      <c r="F31" s="73" t="str">
        <f>'10.Grain Production details'!F85</f>
        <v>0</v>
      </c>
      <c r="G31" s="73" t="str">
        <f>'10.Grain Production details'!G85</f>
        <v>0</v>
      </c>
      <c r="H31" s="73" t="str">
        <f>'10.Grain Production details'!H85</f>
        <v>0</v>
      </c>
    </row>
    <row r="32" ht="14.25" customHeight="1">
      <c r="A32" s="73" t="s">
        <v>666</v>
      </c>
      <c r="B32" s="73" t="str">
        <f t="shared" ref="B32:H32" si="2">SUM(B13:B31)</f>
        <v>6156</v>
      </c>
      <c r="C32" s="73" t="str">
        <f t="shared" si="2"/>
        <v>7182</v>
      </c>
      <c r="D32" s="73" t="str">
        <f t="shared" si="2"/>
        <v>8208</v>
      </c>
      <c r="E32" s="73" t="str">
        <f t="shared" si="2"/>
        <v>9234</v>
      </c>
      <c r="F32" s="73" t="str">
        <f t="shared" si="2"/>
        <v>10260</v>
      </c>
      <c r="G32" s="73" t="str">
        <f t="shared" si="2"/>
        <v>11286</v>
      </c>
      <c r="H32" s="73" t="str">
        <f t="shared" si="2"/>
        <v>12312</v>
      </c>
    </row>
    <row r="33" ht="14.25" customHeight="1">
      <c r="A33" s="373" t="s">
        <v>640</v>
      </c>
      <c r="B33" s="212">
        <v>0.7</v>
      </c>
      <c r="C33" s="212" t="str">
        <f t="shared" ref="C33:H33" si="3">B33</f>
        <v>70%</v>
      </c>
      <c r="D33" s="212" t="str">
        <f t="shared" si="3"/>
        <v>70%</v>
      </c>
      <c r="E33" s="212" t="str">
        <f t="shared" si="3"/>
        <v>70%</v>
      </c>
      <c r="F33" s="212" t="str">
        <f t="shared" si="3"/>
        <v>70%</v>
      </c>
      <c r="G33" s="212" t="str">
        <f t="shared" si="3"/>
        <v>70%</v>
      </c>
      <c r="H33" s="212" t="str">
        <f t="shared" si="3"/>
        <v>70%</v>
      </c>
      <c r="K33" s="44" t="str">
        <f t="shared" ref="K33:T33" si="4">B32-B35</f>
        <v>  1,847 </v>
      </c>
      <c r="L33" s="44" t="str">
        <f t="shared" si="4"/>
        <v>  2,155 </v>
      </c>
      <c r="M33" s="44" t="str">
        <f t="shared" si="4"/>
        <v>  2,462 </v>
      </c>
      <c r="N33" s="44" t="str">
        <f t="shared" si="4"/>
        <v>  2,770 </v>
      </c>
      <c r="O33" s="44" t="str">
        <f t="shared" si="4"/>
        <v>  3,078 </v>
      </c>
      <c r="P33" s="44" t="str">
        <f t="shared" si="4"/>
        <v>  3,386 </v>
      </c>
      <c r="Q33" s="44" t="str">
        <f t="shared" si="4"/>
        <v>  3,694 </v>
      </c>
      <c r="R33" s="44" t="str">
        <f t="shared" si="4"/>
        <v>  -   </v>
      </c>
      <c r="S33" s="44" t="str">
        <f t="shared" si="4"/>
        <v>  -   </v>
      </c>
      <c r="T33" s="44" t="str">
        <f t="shared" si="4"/>
        <v>  -   </v>
      </c>
    </row>
    <row r="34" ht="14.25" customHeight="1">
      <c r="A34" s="73" t="s">
        <v>667</v>
      </c>
      <c r="B34" s="202" t="str">
        <f t="shared" ref="B34:H34" si="5">1-B33</f>
        <v>30%</v>
      </c>
      <c r="C34" s="202" t="str">
        <f t="shared" si="5"/>
        <v>30%</v>
      </c>
      <c r="D34" s="202" t="str">
        <f t="shared" si="5"/>
        <v>30%</v>
      </c>
      <c r="E34" s="202" t="str">
        <f t="shared" si="5"/>
        <v>30%</v>
      </c>
      <c r="F34" s="202" t="str">
        <f t="shared" si="5"/>
        <v>30%</v>
      </c>
      <c r="G34" s="202" t="str">
        <f t="shared" si="5"/>
        <v>30%</v>
      </c>
      <c r="H34" s="202" t="str">
        <f t="shared" si="5"/>
        <v>30%</v>
      </c>
    </row>
    <row r="35" ht="14.25" customHeight="1">
      <c r="A35" s="117" t="s">
        <v>640</v>
      </c>
      <c r="B35" s="374" t="str">
        <f t="shared" ref="B35:H35" si="6">B32*B33</f>
        <v>  4,309 </v>
      </c>
      <c r="C35" s="374" t="str">
        <f t="shared" si="6"/>
        <v>  5,027 </v>
      </c>
      <c r="D35" s="374" t="str">
        <f t="shared" si="6"/>
        <v>  5,746 </v>
      </c>
      <c r="E35" s="374" t="str">
        <f t="shared" si="6"/>
        <v>  6,464 </v>
      </c>
      <c r="F35" s="374" t="str">
        <f t="shared" si="6"/>
        <v>  7,182 </v>
      </c>
      <c r="G35" s="374" t="str">
        <f t="shared" si="6"/>
        <v>  7,900 </v>
      </c>
      <c r="H35" s="374" t="str">
        <f t="shared" si="6"/>
        <v>  8,618 </v>
      </c>
    </row>
    <row r="36" ht="14.25" customHeight="1">
      <c r="A36" s="117" t="s">
        <v>641</v>
      </c>
      <c r="B36" s="118"/>
      <c r="C36" s="118"/>
      <c r="D36" s="118"/>
      <c r="E36" s="118"/>
      <c r="F36" s="118"/>
      <c r="G36" s="118"/>
      <c r="H36" s="118"/>
    </row>
    <row r="37" ht="14.25" hidden="1" customHeight="1">
      <c r="A37" s="73" t="str">
        <f t="shared" ref="A37:A55" si="8">A13</f>
        <v>Soybean</v>
      </c>
      <c r="B37" s="116" t="str">
        <f t="shared" ref="B37:H37" si="7">B13*$B$34</f>
        <v>  -   </v>
      </c>
      <c r="C37" s="116" t="str">
        <f t="shared" si="7"/>
        <v>  -   </v>
      </c>
      <c r="D37" s="116" t="str">
        <f t="shared" si="7"/>
        <v>  -   </v>
      </c>
      <c r="E37" s="116" t="str">
        <f t="shared" si="7"/>
        <v>  -   </v>
      </c>
      <c r="F37" s="116" t="str">
        <f t="shared" si="7"/>
        <v>  -   </v>
      </c>
      <c r="G37" s="116" t="str">
        <f t="shared" si="7"/>
        <v>  -   </v>
      </c>
      <c r="H37" s="116" t="str">
        <f t="shared" si="7"/>
        <v>  -   </v>
      </c>
    </row>
    <row r="38" ht="14.25" customHeight="1">
      <c r="A38" s="73" t="str">
        <f t="shared" si="8"/>
        <v>Red Gram/Tur</v>
      </c>
      <c r="B38" s="116" t="str">
        <f t="shared" ref="B38:B55" si="9">B14*$B$34</f>
        <v>  808 </v>
      </c>
      <c r="C38" s="116" t="str">
        <f t="shared" ref="C38:C55" si="10">C14*$C$34</f>
        <v>  943 </v>
      </c>
      <c r="D38" s="116" t="str">
        <f t="shared" ref="D38:D55" si="11">D14*$D$34</f>
        <v>  1,077 </v>
      </c>
      <c r="E38" s="116" t="str">
        <f t="shared" ref="E38:E55" si="12">E14*$E$34</f>
        <v>  1,212 </v>
      </c>
      <c r="F38" s="116" t="str">
        <f t="shared" ref="F38:F55" si="13">F14*$F$34</f>
        <v>  1,347 </v>
      </c>
      <c r="G38" s="116" t="str">
        <f t="shared" ref="G38:G55" si="14">G14*$G$34</f>
        <v>  1,481 </v>
      </c>
      <c r="H38" s="116" t="str">
        <f t="shared" ref="H38:H55" si="15">H14*$H$34</f>
        <v>  1,616 </v>
      </c>
    </row>
    <row r="39" ht="14.25" hidden="1" customHeight="1">
      <c r="A39" s="73" t="str">
        <f t="shared" si="8"/>
        <v>Paddy/Rice</v>
      </c>
      <c r="B39" s="116" t="str">
        <f t="shared" si="9"/>
        <v>  -   </v>
      </c>
      <c r="C39" s="116" t="str">
        <f t="shared" si="10"/>
        <v>  -   </v>
      </c>
      <c r="D39" s="116" t="str">
        <f t="shared" si="11"/>
        <v>  -   </v>
      </c>
      <c r="E39" s="116" t="str">
        <f t="shared" si="12"/>
        <v>  -   </v>
      </c>
      <c r="F39" s="116" t="str">
        <f t="shared" si="13"/>
        <v>  -   </v>
      </c>
      <c r="G39" s="116" t="str">
        <f t="shared" si="14"/>
        <v>  -   </v>
      </c>
      <c r="H39" s="116" t="str">
        <f t="shared" si="15"/>
        <v>  -   </v>
      </c>
    </row>
    <row r="40" ht="14.25" customHeight="1">
      <c r="A40" s="73" t="str">
        <f t="shared" si="8"/>
        <v>Green Gram/ Moong</v>
      </c>
      <c r="B40" s="116" t="str">
        <f t="shared" si="9"/>
        <v>  269 </v>
      </c>
      <c r="C40" s="116" t="str">
        <f t="shared" si="10"/>
        <v>  314 </v>
      </c>
      <c r="D40" s="116" t="str">
        <f t="shared" si="11"/>
        <v>  359 </v>
      </c>
      <c r="E40" s="116" t="str">
        <f t="shared" si="12"/>
        <v>  404 </v>
      </c>
      <c r="F40" s="116" t="str">
        <f t="shared" si="13"/>
        <v>  449 </v>
      </c>
      <c r="G40" s="116" t="str">
        <f t="shared" si="14"/>
        <v>  494 </v>
      </c>
      <c r="H40" s="116" t="str">
        <f t="shared" si="15"/>
        <v>  539 </v>
      </c>
    </row>
    <row r="41" ht="14.25" hidden="1" customHeight="1">
      <c r="A41" s="73" t="str">
        <f t="shared" si="8"/>
        <v>Maize</v>
      </c>
      <c r="B41" s="116" t="str">
        <f t="shared" si="9"/>
        <v>  -   </v>
      </c>
      <c r="C41" s="116" t="str">
        <f t="shared" si="10"/>
        <v>  -   </v>
      </c>
      <c r="D41" s="116" t="str">
        <f t="shared" si="11"/>
        <v>  -   </v>
      </c>
      <c r="E41" s="116" t="str">
        <f t="shared" si="12"/>
        <v>  -   </v>
      </c>
      <c r="F41" s="116" t="str">
        <f t="shared" si="13"/>
        <v>  -   </v>
      </c>
      <c r="G41" s="116" t="str">
        <f t="shared" si="14"/>
        <v>  -   </v>
      </c>
      <c r="H41" s="116" t="str">
        <f t="shared" si="15"/>
        <v>  -   </v>
      </c>
    </row>
    <row r="42" ht="14.25" customHeight="1">
      <c r="A42" s="73" t="str">
        <f t="shared" si="8"/>
        <v>Black Gram/Udid</v>
      </c>
      <c r="B42" s="116" t="str">
        <f t="shared" si="9"/>
        <v>  231 </v>
      </c>
      <c r="C42" s="116" t="str">
        <f t="shared" si="10"/>
        <v>  269 </v>
      </c>
      <c r="D42" s="116" t="str">
        <f t="shared" si="11"/>
        <v>  308 </v>
      </c>
      <c r="E42" s="116" t="str">
        <f t="shared" si="12"/>
        <v>  346 </v>
      </c>
      <c r="F42" s="116" t="str">
        <f t="shared" si="13"/>
        <v>  385 </v>
      </c>
      <c r="G42" s="116" t="str">
        <f t="shared" si="14"/>
        <v>  423 </v>
      </c>
      <c r="H42" s="116" t="str">
        <f t="shared" si="15"/>
        <v>  462 </v>
      </c>
    </row>
    <row r="43" ht="14.25" hidden="1" customHeight="1">
      <c r="A43" s="73" t="str">
        <f t="shared" si="8"/>
        <v>Bajra</v>
      </c>
      <c r="B43" s="116" t="str">
        <f t="shared" si="9"/>
        <v>  -   </v>
      </c>
      <c r="C43" s="116" t="str">
        <f t="shared" si="10"/>
        <v>  -   </v>
      </c>
      <c r="D43" s="116" t="str">
        <f t="shared" si="11"/>
        <v>  -   </v>
      </c>
      <c r="E43" s="116" t="str">
        <f t="shared" si="12"/>
        <v>  -   </v>
      </c>
      <c r="F43" s="116" t="str">
        <f t="shared" si="13"/>
        <v>  -   </v>
      </c>
      <c r="G43" s="116" t="str">
        <f t="shared" si="14"/>
        <v>  -   </v>
      </c>
      <c r="H43" s="116" t="str">
        <f t="shared" si="15"/>
        <v>  -   </v>
      </c>
    </row>
    <row r="44" ht="14.25" hidden="1" customHeight="1">
      <c r="A44" s="73" t="str">
        <f t="shared" si="8"/>
        <v>Jawar</v>
      </c>
      <c r="B44" s="116" t="str">
        <f t="shared" si="9"/>
        <v>  -   </v>
      </c>
      <c r="C44" s="116" t="str">
        <f t="shared" si="10"/>
        <v>  -   </v>
      </c>
      <c r="D44" s="116" t="str">
        <f t="shared" si="11"/>
        <v>  -   </v>
      </c>
      <c r="E44" s="116" t="str">
        <f t="shared" si="12"/>
        <v>  -   </v>
      </c>
      <c r="F44" s="116" t="str">
        <f t="shared" si="13"/>
        <v>  -   </v>
      </c>
      <c r="G44" s="116" t="str">
        <f t="shared" si="14"/>
        <v>  -   </v>
      </c>
      <c r="H44" s="116" t="str">
        <f t="shared" si="15"/>
        <v>  -   </v>
      </c>
    </row>
    <row r="45" ht="14.25" hidden="1" customHeight="1">
      <c r="A45" s="73" t="str">
        <f t="shared" si="8"/>
        <v>Sunflower</v>
      </c>
      <c r="B45" s="116" t="str">
        <f t="shared" si="9"/>
        <v>  -   </v>
      </c>
      <c r="C45" s="116" t="str">
        <f t="shared" si="10"/>
        <v>  -   </v>
      </c>
      <c r="D45" s="116" t="str">
        <f t="shared" si="11"/>
        <v>  -   </v>
      </c>
      <c r="E45" s="116" t="str">
        <f t="shared" si="12"/>
        <v>  -   </v>
      </c>
      <c r="F45" s="116" t="str">
        <f t="shared" si="13"/>
        <v>  -   </v>
      </c>
      <c r="G45" s="116" t="str">
        <f t="shared" si="14"/>
        <v>  -   </v>
      </c>
      <c r="H45" s="116" t="str">
        <f t="shared" si="15"/>
        <v>  -   </v>
      </c>
    </row>
    <row r="46" ht="14.25" hidden="1" customHeight="1">
      <c r="A46" s="73" t="str">
        <f t="shared" si="8"/>
        <v>Wheat</v>
      </c>
      <c r="B46" s="116" t="str">
        <f t="shared" si="9"/>
        <v>  -   </v>
      </c>
      <c r="C46" s="116" t="str">
        <f t="shared" si="10"/>
        <v>  -   </v>
      </c>
      <c r="D46" s="116" t="str">
        <f t="shared" si="11"/>
        <v>  -   </v>
      </c>
      <c r="E46" s="116" t="str">
        <f t="shared" si="12"/>
        <v>  -   </v>
      </c>
      <c r="F46" s="116" t="str">
        <f t="shared" si="13"/>
        <v>  -   </v>
      </c>
      <c r="G46" s="116" t="str">
        <f t="shared" si="14"/>
        <v>  -   </v>
      </c>
      <c r="H46" s="116" t="str">
        <f t="shared" si="15"/>
        <v>  -   </v>
      </c>
    </row>
    <row r="47" ht="14.25" customHeight="1">
      <c r="A47" s="73" t="str">
        <f t="shared" si="8"/>
        <v>Bengal Gram/Channa</v>
      </c>
      <c r="B47" s="116" t="str">
        <f t="shared" si="9"/>
        <v>  539 </v>
      </c>
      <c r="C47" s="116" t="str">
        <f t="shared" si="10"/>
        <v>  628 </v>
      </c>
      <c r="D47" s="116" t="str">
        <f t="shared" si="11"/>
        <v>  718 </v>
      </c>
      <c r="E47" s="116" t="str">
        <f t="shared" si="12"/>
        <v>  808 </v>
      </c>
      <c r="F47" s="116" t="str">
        <f t="shared" si="13"/>
        <v>  898 </v>
      </c>
      <c r="G47" s="116" t="str">
        <f t="shared" si="14"/>
        <v>  988 </v>
      </c>
      <c r="H47" s="116" t="str">
        <f t="shared" si="15"/>
        <v>  1,077 </v>
      </c>
    </row>
    <row r="48" ht="14.25" hidden="1" customHeight="1">
      <c r="A48" s="73" t="str">
        <f t="shared" si="8"/>
        <v>Jawar</v>
      </c>
      <c r="B48" s="116" t="str">
        <f t="shared" si="9"/>
        <v>  -   </v>
      </c>
      <c r="C48" s="116" t="str">
        <f t="shared" si="10"/>
        <v>  -   </v>
      </c>
      <c r="D48" s="116" t="str">
        <f t="shared" si="11"/>
        <v>  -   </v>
      </c>
      <c r="E48" s="116" t="str">
        <f t="shared" si="12"/>
        <v>  -   </v>
      </c>
      <c r="F48" s="116" t="str">
        <f t="shared" si="13"/>
        <v>  -   </v>
      </c>
      <c r="G48" s="116" t="str">
        <f t="shared" si="14"/>
        <v>  -   </v>
      </c>
      <c r="H48" s="116" t="str">
        <f t="shared" si="15"/>
        <v>  -   </v>
      </c>
    </row>
    <row r="49" ht="14.25" hidden="1" customHeight="1">
      <c r="A49" s="73" t="str">
        <f t="shared" si="8"/>
        <v>Maize</v>
      </c>
      <c r="B49" s="116" t="str">
        <f t="shared" si="9"/>
        <v>  -   </v>
      </c>
      <c r="C49" s="116" t="str">
        <f t="shared" si="10"/>
        <v>  -   </v>
      </c>
      <c r="D49" s="116" t="str">
        <f t="shared" si="11"/>
        <v>  -   </v>
      </c>
      <c r="E49" s="116" t="str">
        <f t="shared" si="12"/>
        <v>  -   </v>
      </c>
      <c r="F49" s="116" t="str">
        <f t="shared" si="13"/>
        <v>  -   </v>
      </c>
      <c r="G49" s="116" t="str">
        <f t="shared" si="14"/>
        <v>  -   </v>
      </c>
      <c r="H49" s="116" t="str">
        <f t="shared" si="15"/>
        <v>  -   </v>
      </c>
    </row>
    <row r="50" ht="14.25" hidden="1" customHeight="1">
      <c r="A50" s="73" t="str">
        <f t="shared" si="8"/>
        <v>Safflower</v>
      </c>
      <c r="B50" s="116" t="str">
        <f t="shared" si="9"/>
        <v>  -   </v>
      </c>
      <c r="C50" s="116" t="str">
        <f t="shared" si="10"/>
        <v>  -   </v>
      </c>
      <c r="D50" s="116" t="str">
        <f t="shared" si="11"/>
        <v>  -   </v>
      </c>
      <c r="E50" s="116" t="str">
        <f t="shared" si="12"/>
        <v>  -   </v>
      </c>
      <c r="F50" s="116" t="str">
        <f t="shared" si="13"/>
        <v>  -   </v>
      </c>
      <c r="G50" s="116" t="str">
        <f t="shared" si="14"/>
        <v>  -   </v>
      </c>
      <c r="H50" s="116" t="str">
        <f t="shared" si="15"/>
        <v>  -   </v>
      </c>
    </row>
    <row r="51" ht="14.25" hidden="1" customHeight="1">
      <c r="A51" s="73" t="str">
        <f t="shared" si="8"/>
        <v/>
      </c>
      <c r="B51" s="116" t="str">
        <f t="shared" si="9"/>
        <v>  -   </v>
      </c>
      <c r="C51" s="116" t="str">
        <f t="shared" si="10"/>
        <v>  -   </v>
      </c>
      <c r="D51" s="116" t="str">
        <f t="shared" si="11"/>
        <v>  -   </v>
      </c>
      <c r="E51" s="116" t="str">
        <f t="shared" si="12"/>
        <v>  -   </v>
      </c>
      <c r="F51" s="116" t="str">
        <f t="shared" si="13"/>
        <v>  -   </v>
      </c>
      <c r="G51" s="116" t="str">
        <f t="shared" si="14"/>
        <v>  -   </v>
      </c>
      <c r="H51" s="116" t="str">
        <f t="shared" si="15"/>
        <v>  -   </v>
      </c>
    </row>
    <row r="52" ht="14.25" hidden="1" customHeight="1">
      <c r="A52" s="73" t="str">
        <f t="shared" si="8"/>
        <v/>
      </c>
      <c r="B52" s="116" t="str">
        <f t="shared" si="9"/>
        <v>  -   </v>
      </c>
      <c r="C52" s="116" t="str">
        <f t="shared" si="10"/>
        <v>  -   </v>
      </c>
      <c r="D52" s="116" t="str">
        <f t="shared" si="11"/>
        <v>  -   </v>
      </c>
      <c r="E52" s="116" t="str">
        <f t="shared" si="12"/>
        <v>  -   </v>
      </c>
      <c r="F52" s="116" t="str">
        <f t="shared" si="13"/>
        <v>  -   </v>
      </c>
      <c r="G52" s="116" t="str">
        <f t="shared" si="14"/>
        <v>  -   </v>
      </c>
      <c r="H52" s="116" t="str">
        <f t="shared" si="15"/>
        <v>  -   </v>
      </c>
    </row>
    <row r="53" ht="14.25" hidden="1" customHeight="1">
      <c r="A53" s="73" t="str">
        <f t="shared" si="8"/>
        <v/>
      </c>
      <c r="B53" s="116" t="str">
        <f t="shared" si="9"/>
        <v>  -   </v>
      </c>
      <c r="C53" s="116" t="str">
        <f t="shared" si="10"/>
        <v>  -   </v>
      </c>
      <c r="D53" s="116" t="str">
        <f t="shared" si="11"/>
        <v>  -   </v>
      </c>
      <c r="E53" s="116" t="str">
        <f t="shared" si="12"/>
        <v>  -   </v>
      </c>
      <c r="F53" s="116" t="str">
        <f t="shared" si="13"/>
        <v>  -   </v>
      </c>
      <c r="G53" s="116" t="str">
        <f t="shared" si="14"/>
        <v>  -   </v>
      </c>
      <c r="H53" s="116" t="str">
        <f t="shared" si="15"/>
        <v>  -   </v>
      </c>
    </row>
    <row r="54" ht="14.25" hidden="1" customHeight="1">
      <c r="A54" s="73" t="str">
        <f t="shared" si="8"/>
        <v>Groundnut</v>
      </c>
      <c r="B54" s="116" t="str">
        <f t="shared" si="9"/>
        <v>  -   </v>
      </c>
      <c r="C54" s="116" t="str">
        <f t="shared" si="10"/>
        <v>  -   </v>
      </c>
      <c r="D54" s="116" t="str">
        <f t="shared" si="11"/>
        <v>  -   </v>
      </c>
      <c r="E54" s="116" t="str">
        <f t="shared" si="12"/>
        <v>  -   </v>
      </c>
      <c r="F54" s="116" t="str">
        <f t="shared" si="13"/>
        <v>  -   </v>
      </c>
      <c r="G54" s="116" t="str">
        <f t="shared" si="14"/>
        <v>  -   </v>
      </c>
      <c r="H54" s="116" t="str">
        <f t="shared" si="15"/>
        <v>  -   </v>
      </c>
    </row>
    <row r="55" ht="14.25" hidden="1" customHeight="1">
      <c r="A55" s="73" t="str">
        <f t="shared" si="8"/>
        <v/>
      </c>
      <c r="B55" s="116" t="str">
        <f t="shared" si="9"/>
        <v>  -   </v>
      </c>
      <c r="C55" s="116" t="str">
        <f t="shared" si="10"/>
        <v>  -   </v>
      </c>
      <c r="D55" s="116" t="str">
        <f t="shared" si="11"/>
        <v>  -   </v>
      </c>
      <c r="E55" s="116" t="str">
        <f t="shared" si="12"/>
        <v>  -   </v>
      </c>
      <c r="F55" s="116" t="str">
        <f t="shared" si="13"/>
        <v>  -   </v>
      </c>
      <c r="G55" s="116" t="str">
        <f t="shared" si="14"/>
        <v>  -   </v>
      </c>
      <c r="H55" s="116" t="str">
        <f t="shared" si="15"/>
        <v>  -   </v>
      </c>
    </row>
    <row r="56" ht="14.25" customHeight="1">
      <c r="A56" s="73"/>
      <c r="B56" s="73"/>
      <c r="C56" s="73"/>
      <c r="D56" s="73"/>
      <c r="E56" s="73"/>
      <c r="F56" s="73"/>
      <c r="G56" s="73"/>
      <c r="H56" s="73"/>
    </row>
    <row r="57" ht="14.25" customHeight="1">
      <c r="A57" s="117" t="s">
        <v>668</v>
      </c>
      <c r="B57" s="73"/>
      <c r="C57" s="73"/>
      <c r="D57" s="73"/>
      <c r="E57" s="73"/>
      <c r="F57" s="73"/>
      <c r="G57" s="73"/>
      <c r="H57" s="73"/>
    </row>
    <row r="58" ht="14.25" hidden="1" customHeight="1">
      <c r="A58" s="73" t="str">
        <f>A37</f>
        <v>Soybean</v>
      </c>
      <c r="B58" s="73"/>
      <c r="C58" s="73"/>
      <c r="D58" s="73"/>
      <c r="E58" s="73"/>
      <c r="F58" s="73"/>
      <c r="G58" s="73"/>
      <c r="H58" s="73"/>
    </row>
    <row r="59" ht="14.25" hidden="1" customHeight="1">
      <c r="A59" s="73"/>
      <c r="B59" s="73"/>
      <c r="C59" s="73"/>
      <c r="D59" s="73"/>
      <c r="E59" s="73"/>
      <c r="F59" s="73"/>
      <c r="G59" s="73"/>
      <c r="H59" s="73"/>
    </row>
    <row r="60" ht="14.25" hidden="1" customHeight="1">
      <c r="A60" s="73"/>
      <c r="B60" s="73"/>
      <c r="C60" s="73"/>
      <c r="D60" s="73"/>
      <c r="E60" s="73"/>
      <c r="F60" s="73"/>
      <c r="G60" s="73"/>
      <c r="H60" s="73"/>
    </row>
    <row r="61" ht="14.25" hidden="1" customHeight="1">
      <c r="A61" s="73"/>
      <c r="B61" s="73"/>
      <c r="C61" s="73"/>
      <c r="D61" s="73"/>
      <c r="E61" s="73"/>
      <c r="F61" s="73"/>
      <c r="G61" s="73"/>
      <c r="H61" s="73"/>
    </row>
    <row r="62" ht="14.25" customHeight="1">
      <c r="A62" s="73" t="str">
        <f>A38</f>
        <v>Red Gram/Tur</v>
      </c>
      <c r="B62" s="366"/>
      <c r="C62" s="366"/>
      <c r="D62" s="366"/>
      <c r="E62" s="366"/>
      <c r="F62" s="366"/>
      <c r="G62" s="366"/>
      <c r="H62" s="366"/>
    </row>
    <row r="63" ht="14.25" customHeight="1">
      <c r="A63" s="73" t="s">
        <v>669</v>
      </c>
      <c r="B63" s="366" t="str">
        <f t="shared" ref="B63:H63" si="16">B38*70%</f>
        <v>  565.58 </v>
      </c>
      <c r="C63" s="366" t="str">
        <f t="shared" si="16"/>
        <v>  659.85 </v>
      </c>
      <c r="D63" s="366" t="str">
        <f t="shared" si="16"/>
        <v>  754.11 </v>
      </c>
      <c r="E63" s="366" t="str">
        <f t="shared" si="16"/>
        <v>  848.37 </v>
      </c>
      <c r="F63" s="366" t="str">
        <f t="shared" si="16"/>
        <v>  942.64 </v>
      </c>
      <c r="G63" s="366" t="str">
        <f t="shared" si="16"/>
        <v>  1,036.90 </v>
      </c>
      <c r="H63" s="366" t="str">
        <f t="shared" si="16"/>
        <v>  1,131.17 </v>
      </c>
    </row>
    <row r="64" ht="14.25" customHeight="1">
      <c r="A64" s="73" t="s">
        <v>670</v>
      </c>
      <c r="B64" s="366" t="str">
        <f t="shared" ref="B64:H64" si="17">B38*20%</f>
        <v>  161.60 </v>
      </c>
      <c r="C64" s="366" t="str">
        <f t="shared" si="17"/>
        <v>  188.53 </v>
      </c>
      <c r="D64" s="366" t="str">
        <f t="shared" si="17"/>
        <v>  215.46 </v>
      </c>
      <c r="E64" s="366" t="str">
        <f t="shared" si="17"/>
        <v>  242.39 </v>
      </c>
      <c r="F64" s="366" t="str">
        <f t="shared" si="17"/>
        <v>  269.33 </v>
      </c>
      <c r="G64" s="366" t="str">
        <f t="shared" si="17"/>
        <v>  296.26 </v>
      </c>
      <c r="H64" s="366" t="str">
        <f t="shared" si="17"/>
        <v>  323.19 </v>
      </c>
    </row>
    <row r="65" ht="14.25" hidden="1" customHeight="1">
      <c r="A65" s="73" t="str">
        <f>A39</f>
        <v>Paddy/Rice</v>
      </c>
      <c r="B65" s="116"/>
      <c r="C65" s="116"/>
      <c r="D65" s="116"/>
      <c r="E65" s="116"/>
      <c r="F65" s="116"/>
      <c r="G65" s="116"/>
      <c r="H65" s="116"/>
    </row>
    <row r="66" ht="14.25" hidden="1" customHeight="1">
      <c r="A66" s="73"/>
      <c r="B66" s="116"/>
      <c r="C66" s="116"/>
      <c r="D66" s="116"/>
      <c r="E66" s="116"/>
      <c r="F66" s="116"/>
      <c r="G66" s="116"/>
      <c r="H66" s="116"/>
    </row>
    <row r="67" ht="14.25" hidden="1" customHeight="1">
      <c r="A67" s="73"/>
      <c r="B67" s="116"/>
      <c r="C67" s="116"/>
      <c r="D67" s="116"/>
      <c r="E67" s="116"/>
      <c r="F67" s="116"/>
      <c r="G67" s="116"/>
      <c r="H67" s="116"/>
    </row>
    <row r="68" ht="14.25" customHeight="1">
      <c r="A68" s="73"/>
      <c r="B68" s="116"/>
      <c r="C68" s="116"/>
      <c r="D68" s="116"/>
      <c r="E68" s="116"/>
      <c r="F68" s="116"/>
      <c r="G68" s="116"/>
      <c r="H68" s="116"/>
    </row>
    <row r="69" ht="14.25" customHeight="1">
      <c r="A69" s="73" t="str">
        <f>A40</f>
        <v>Green Gram/ Moong</v>
      </c>
      <c r="B69" s="116"/>
      <c r="C69" s="116"/>
      <c r="D69" s="116"/>
      <c r="E69" s="116"/>
      <c r="F69" s="116"/>
      <c r="G69" s="116"/>
      <c r="H69" s="116"/>
    </row>
    <row r="70" ht="14.25" customHeight="1">
      <c r="A70" s="73" t="s">
        <v>669</v>
      </c>
      <c r="B70" s="116" t="str">
        <f t="shared" ref="B70:H70" si="18">B40*80%</f>
        <v>  215 </v>
      </c>
      <c r="C70" s="116" t="str">
        <f t="shared" si="18"/>
        <v>  251 </v>
      </c>
      <c r="D70" s="116" t="str">
        <f t="shared" si="18"/>
        <v>  287 </v>
      </c>
      <c r="E70" s="116" t="str">
        <f t="shared" si="18"/>
        <v>  323 </v>
      </c>
      <c r="F70" s="116" t="str">
        <f t="shared" si="18"/>
        <v>  359 </v>
      </c>
      <c r="G70" s="116" t="str">
        <f t="shared" si="18"/>
        <v>  395 </v>
      </c>
      <c r="H70" s="116" t="str">
        <f t="shared" si="18"/>
        <v>  431 </v>
      </c>
    </row>
    <row r="71" ht="14.25" customHeight="1">
      <c r="A71" s="73" t="s">
        <v>670</v>
      </c>
      <c r="B71" s="116" t="str">
        <f t="shared" ref="B71:H71" si="19">B40*20%</f>
        <v>  54 </v>
      </c>
      <c r="C71" s="116" t="str">
        <f t="shared" si="19"/>
        <v>  63 </v>
      </c>
      <c r="D71" s="116" t="str">
        <f t="shared" si="19"/>
        <v>  72 </v>
      </c>
      <c r="E71" s="116" t="str">
        <f t="shared" si="19"/>
        <v>  81 </v>
      </c>
      <c r="F71" s="116" t="str">
        <f t="shared" si="19"/>
        <v>  90 </v>
      </c>
      <c r="G71" s="116" t="str">
        <f t="shared" si="19"/>
        <v>  99 </v>
      </c>
      <c r="H71" s="116" t="str">
        <f t="shared" si="19"/>
        <v>  108 </v>
      </c>
    </row>
    <row r="72" ht="14.25" hidden="1" customHeight="1">
      <c r="A72" s="73" t="str">
        <f>A41</f>
        <v>Maize</v>
      </c>
      <c r="B72" s="116"/>
      <c r="C72" s="116"/>
      <c r="D72" s="116"/>
      <c r="E72" s="116"/>
      <c r="F72" s="116"/>
      <c r="G72" s="116"/>
      <c r="H72" s="116"/>
    </row>
    <row r="73" ht="14.25" hidden="1" customHeight="1">
      <c r="A73" s="73"/>
      <c r="B73" s="116"/>
      <c r="C73" s="116"/>
      <c r="D73" s="116"/>
      <c r="E73" s="116"/>
      <c r="F73" s="116"/>
      <c r="G73" s="116"/>
      <c r="H73" s="116"/>
    </row>
    <row r="74" ht="14.25" hidden="1" customHeight="1">
      <c r="A74" s="73"/>
      <c r="B74" s="116"/>
      <c r="C74" s="116"/>
      <c r="D74" s="116"/>
      <c r="E74" s="116"/>
      <c r="F74" s="116"/>
      <c r="G74" s="116"/>
      <c r="H74" s="116"/>
    </row>
    <row r="75" ht="14.25" hidden="1" customHeight="1">
      <c r="A75" s="73"/>
      <c r="B75" s="116"/>
      <c r="C75" s="116"/>
      <c r="D75" s="116"/>
      <c r="E75" s="116"/>
      <c r="F75" s="116"/>
      <c r="G75" s="116"/>
      <c r="H75" s="116"/>
    </row>
    <row r="76" ht="14.25" customHeight="1">
      <c r="A76" s="73"/>
      <c r="B76" s="116"/>
      <c r="C76" s="116"/>
      <c r="D76" s="116"/>
      <c r="E76" s="116"/>
      <c r="F76" s="116"/>
      <c r="G76" s="116"/>
      <c r="H76" s="116"/>
    </row>
    <row r="77" ht="14.25" customHeight="1">
      <c r="A77" s="73" t="str">
        <f>A42</f>
        <v>Black Gram/Udid</v>
      </c>
      <c r="B77" s="116"/>
      <c r="C77" s="116"/>
      <c r="D77" s="116"/>
      <c r="E77" s="116"/>
      <c r="F77" s="116"/>
      <c r="G77" s="116"/>
      <c r="H77" s="116"/>
    </row>
    <row r="78" ht="14.25" customHeight="1">
      <c r="A78" s="73" t="s">
        <v>669</v>
      </c>
      <c r="B78" s="116" t="str">
        <f t="shared" ref="B78:H78" si="20">B42*80%</f>
        <v>  185 </v>
      </c>
      <c r="C78" s="116" t="str">
        <f t="shared" si="20"/>
        <v>  215 </v>
      </c>
      <c r="D78" s="116" t="str">
        <f t="shared" si="20"/>
        <v>  246 </v>
      </c>
      <c r="E78" s="116" t="str">
        <f t="shared" si="20"/>
        <v>  277 </v>
      </c>
      <c r="F78" s="116" t="str">
        <f t="shared" si="20"/>
        <v>  308 </v>
      </c>
      <c r="G78" s="116" t="str">
        <f t="shared" si="20"/>
        <v>  339 </v>
      </c>
      <c r="H78" s="116" t="str">
        <f t="shared" si="20"/>
        <v>  369 </v>
      </c>
    </row>
    <row r="79" ht="14.25" customHeight="1">
      <c r="A79" s="73" t="s">
        <v>670</v>
      </c>
      <c r="B79" s="116" t="str">
        <f t="shared" ref="B79:H79" si="21">B42*20%</f>
        <v>  46 </v>
      </c>
      <c r="C79" s="116" t="str">
        <f t="shared" si="21"/>
        <v>  54 </v>
      </c>
      <c r="D79" s="116" t="str">
        <f t="shared" si="21"/>
        <v>  62 </v>
      </c>
      <c r="E79" s="116" t="str">
        <f t="shared" si="21"/>
        <v>  69 </v>
      </c>
      <c r="F79" s="116" t="str">
        <f t="shared" si="21"/>
        <v>  77 </v>
      </c>
      <c r="G79" s="116" t="str">
        <f t="shared" si="21"/>
        <v>  85 </v>
      </c>
      <c r="H79" s="116" t="str">
        <f t="shared" si="21"/>
        <v>  92 </v>
      </c>
    </row>
    <row r="80" ht="14.25" hidden="1" customHeight="1">
      <c r="A80" s="73" t="str">
        <f>A43</f>
        <v>Bajra</v>
      </c>
      <c r="B80" s="116"/>
      <c r="C80" s="116"/>
      <c r="D80" s="116"/>
      <c r="E80" s="116"/>
      <c r="F80" s="116"/>
      <c r="G80" s="116"/>
      <c r="H80" s="116"/>
    </row>
    <row r="81" ht="14.25" hidden="1" customHeight="1">
      <c r="A81" s="73"/>
      <c r="B81" s="116"/>
      <c r="C81" s="116"/>
      <c r="D81" s="116"/>
      <c r="E81" s="116"/>
      <c r="F81" s="116"/>
      <c r="G81" s="116"/>
      <c r="H81" s="116"/>
    </row>
    <row r="82" ht="14.25" hidden="1" customHeight="1">
      <c r="A82" s="73"/>
      <c r="B82" s="116"/>
      <c r="C82" s="116"/>
      <c r="D82" s="116"/>
      <c r="E82" s="116"/>
      <c r="F82" s="116"/>
      <c r="G82" s="116"/>
      <c r="H82" s="116"/>
    </row>
    <row r="83" ht="14.25" hidden="1" customHeight="1">
      <c r="A83" s="73" t="str">
        <f>A44</f>
        <v>Jawar</v>
      </c>
      <c r="B83" s="116"/>
      <c r="C83" s="116"/>
      <c r="D83" s="116"/>
      <c r="E83" s="116"/>
      <c r="F83" s="116"/>
      <c r="G83" s="116"/>
      <c r="H83" s="116"/>
    </row>
    <row r="84" ht="14.25" hidden="1" customHeight="1">
      <c r="A84" s="73"/>
      <c r="B84" s="116"/>
      <c r="C84" s="116"/>
      <c r="D84" s="116"/>
      <c r="E84" s="116"/>
      <c r="F84" s="116"/>
      <c r="G84" s="116"/>
      <c r="H84" s="116"/>
    </row>
    <row r="85" ht="14.25" hidden="1" customHeight="1">
      <c r="A85" s="73"/>
      <c r="B85" s="116"/>
      <c r="C85" s="116"/>
      <c r="D85" s="116"/>
      <c r="E85" s="116"/>
      <c r="F85" s="116"/>
      <c r="G85" s="116"/>
      <c r="H85" s="116"/>
    </row>
    <row r="86" ht="14.25" hidden="1" customHeight="1">
      <c r="A86" s="73"/>
      <c r="B86" s="116"/>
      <c r="C86" s="116"/>
      <c r="D86" s="116"/>
      <c r="E86" s="116"/>
      <c r="F86" s="116"/>
      <c r="G86" s="116"/>
      <c r="H86" s="116"/>
    </row>
    <row r="87" ht="14.25" hidden="1" customHeight="1">
      <c r="A87" s="73" t="str">
        <f>A45</f>
        <v>Sunflower</v>
      </c>
      <c r="B87" s="116"/>
      <c r="C87" s="116"/>
      <c r="D87" s="116"/>
      <c r="E87" s="116"/>
      <c r="F87" s="116"/>
      <c r="G87" s="116"/>
      <c r="H87" s="116"/>
    </row>
    <row r="88" ht="14.25" hidden="1" customHeight="1">
      <c r="A88" s="73"/>
      <c r="B88" s="116"/>
      <c r="C88" s="116"/>
      <c r="D88" s="116"/>
      <c r="E88" s="116"/>
      <c r="F88" s="116"/>
      <c r="G88" s="116"/>
      <c r="H88" s="116"/>
    </row>
    <row r="89" ht="14.25" hidden="1" customHeight="1">
      <c r="A89" s="73"/>
      <c r="B89" s="116"/>
      <c r="C89" s="116"/>
      <c r="D89" s="116"/>
      <c r="E89" s="116"/>
      <c r="F89" s="116"/>
      <c r="G89" s="116"/>
      <c r="H89" s="116"/>
    </row>
    <row r="90" ht="14.25" hidden="1" customHeight="1">
      <c r="A90" s="73"/>
      <c r="B90" s="116"/>
      <c r="C90" s="116"/>
      <c r="D90" s="116"/>
      <c r="E90" s="116"/>
      <c r="F90" s="116"/>
      <c r="G90" s="116"/>
      <c r="H90" s="116"/>
    </row>
    <row r="91" ht="14.25" hidden="1" customHeight="1">
      <c r="A91" s="73" t="str">
        <f>A46</f>
        <v>Wheat</v>
      </c>
      <c r="B91" s="116"/>
      <c r="C91" s="116"/>
      <c r="D91" s="116"/>
      <c r="E91" s="116"/>
      <c r="F91" s="116"/>
      <c r="G91" s="116"/>
      <c r="H91" s="116"/>
    </row>
    <row r="92" ht="14.25" hidden="1" customHeight="1">
      <c r="A92" s="73"/>
      <c r="B92" s="116"/>
      <c r="C92" s="116"/>
      <c r="D92" s="116"/>
      <c r="E92" s="116"/>
      <c r="F92" s="116"/>
      <c r="G92" s="116"/>
      <c r="H92" s="116"/>
    </row>
    <row r="93" ht="14.25" customHeight="1">
      <c r="A93" s="73"/>
      <c r="B93" s="116"/>
      <c r="C93" s="116"/>
      <c r="D93" s="116"/>
      <c r="E93" s="116"/>
      <c r="F93" s="116"/>
      <c r="G93" s="116"/>
      <c r="H93" s="116"/>
    </row>
    <row r="94" ht="14.25" customHeight="1">
      <c r="A94" s="73" t="str">
        <f>A47</f>
        <v>Bengal Gram/Channa</v>
      </c>
      <c r="B94" s="116"/>
      <c r="C94" s="116"/>
      <c r="D94" s="116"/>
      <c r="E94" s="116"/>
      <c r="F94" s="116"/>
      <c r="G94" s="116"/>
      <c r="H94" s="116"/>
    </row>
    <row r="95" ht="14.25" customHeight="1">
      <c r="A95" s="73" t="s">
        <v>669</v>
      </c>
      <c r="B95" s="116" t="str">
        <f t="shared" ref="B95:H95" si="22">B47*70%</f>
        <v>  377 </v>
      </c>
      <c r="C95" s="116" t="str">
        <f t="shared" si="22"/>
        <v>  440 </v>
      </c>
      <c r="D95" s="116" t="str">
        <f t="shared" si="22"/>
        <v>  503 </v>
      </c>
      <c r="E95" s="116" t="str">
        <f t="shared" si="22"/>
        <v>  566 </v>
      </c>
      <c r="F95" s="116" t="str">
        <f t="shared" si="22"/>
        <v>  628 </v>
      </c>
      <c r="G95" s="116" t="str">
        <f t="shared" si="22"/>
        <v>  691 </v>
      </c>
      <c r="H95" s="116" t="str">
        <f t="shared" si="22"/>
        <v>  754 </v>
      </c>
    </row>
    <row r="96" ht="14.25" customHeight="1">
      <c r="A96" s="73" t="s">
        <v>670</v>
      </c>
      <c r="B96" s="116" t="str">
        <f t="shared" ref="B96:H96" si="23">B47*30%</f>
        <v>  162 </v>
      </c>
      <c r="C96" s="116" t="str">
        <f t="shared" si="23"/>
        <v>  189 </v>
      </c>
      <c r="D96" s="116" t="str">
        <f t="shared" si="23"/>
        <v>  215 </v>
      </c>
      <c r="E96" s="116" t="str">
        <f t="shared" si="23"/>
        <v>  242 </v>
      </c>
      <c r="F96" s="116" t="str">
        <f t="shared" si="23"/>
        <v>  269 </v>
      </c>
      <c r="G96" s="116" t="str">
        <f t="shared" si="23"/>
        <v>  296 </v>
      </c>
      <c r="H96" s="116" t="str">
        <f t="shared" si="23"/>
        <v>  323 </v>
      </c>
    </row>
    <row r="97" ht="14.25" hidden="1" customHeight="1">
      <c r="A97" s="73" t="str">
        <f>A48</f>
        <v>Jawar</v>
      </c>
      <c r="B97" s="116"/>
      <c r="C97" s="116"/>
      <c r="D97" s="116"/>
      <c r="E97" s="116"/>
      <c r="F97" s="116"/>
      <c r="G97" s="116"/>
      <c r="H97" s="116"/>
    </row>
    <row r="98" ht="14.25" hidden="1" customHeight="1">
      <c r="A98" s="73"/>
      <c r="B98" s="116"/>
      <c r="C98" s="116"/>
      <c r="D98" s="116"/>
      <c r="E98" s="116"/>
      <c r="F98" s="116"/>
      <c r="G98" s="116"/>
      <c r="H98" s="116"/>
    </row>
    <row r="99" ht="14.25" hidden="1" customHeight="1">
      <c r="A99" s="73"/>
      <c r="B99" s="116"/>
      <c r="C99" s="116"/>
      <c r="D99" s="116"/>
      <c r="E99" s="116"/>
      <c r="F99" s="116"/>
      <c r="G99" s="116"/>
      <c r="H99" s="116"/>
    </row>
    <row r="100" ht="14.25" hidden="1" customHeight="1">
      <c r="A100" s="73" t="str">
        <f>A49</f>
        <v>Maize</v>
      </c>
      <c r="B100" s="116"/>
      <c r="C100" s="116"/>
      <c r="D100" s="116"/>
      <c r="E100" s="116"/>
      <c r="F100" s="116"/>
      <c r="G100" s="116"/>
      <c r="H100" s="116"/>
    </row>
    <row r="101" ht="14.25" hidden="1" customHeight="1">
      <c r="A101" s="73"/>
      <c r="B101" s="116"/>
      <c r="C101" s="116"/>
      <c r="D101" s="116"/>
      <c r="E101" s="116"/>
      <c r="F101" s="116"/>
      <c r="G101" s="116"/>
      <c r="H101" s="116"/>
    </row>
    <row r="102" ht="14.25" hidden="1" customHeight="1">
      <c r="A102" s="73"/>
      <c r="B102" s="116"/>
      <c r="C102" s="116"/>
      <c r="D102" s="116"/>
      <c r="E102" s="116"/>
      <c r="F102" s="116"/>
      <c r="G102" s="116"/>
      <c r="H102" s="116"/>
    </row>
    <row r="103" ht="14.25" hidden="1" customHeight="1">
      <c r="A103" s="73" t="str">
        <f>A50</f>
        <v>Safflower</v>
      </c>
      <c r="B103" s="116"/>
      <c r="C103" s="116"/>
      <c r="D103" s="116"/>
      <c r="E103" s="116"/>
      <c r="F103" s="116"/>
      <c r="G103" s="116"/>
      <c r="H103" s="116"/>
    </row>
    <row r="104" ht="14.25" hidden="1" customHeight="1">
      <c r="A104" s="73"/>
      <c r="B104" s="116"/>
      <c r="C104" s="116"/>
      <c r="D104" s="116"/>
      <c r="E104" s="116"/>
      <c r="F104" s="116"/>
      <c r="G104" s="116"/>
      <c r="H104" s="116"/>
    </row>
    <row r="105" ht="14.25" hidden="1" customHeight="1">
      <c r="A105" s="73"/>
      <c r="B105" s="116"/>
      <c r="C105" s="116"/>
      <c r="D105" s="116"/>
      <c r="E105" s="116"/>
      <c r="F105" s="116"/>
      <c r="G105" s="116"/>
      <c r="H105" s="116"/>
    </row>
    <row r="106" ht="14.25" hidden="1" customHeight="1">
      <c r="A106" s="73" t="str">
        <f>A51</f>
        <v/>
      </c>
      <c r="B106" s="116"/>
      <c r="C106" s="116"/>
      <c r="D106" s="116"/>
      <c r="E106" s="116"/>
      <c r="F106" s="116"/>
      <c r="G106" s="116"/>
      <c r="H106" s="116"/>
    </row>
    <row r="107" ht="14.25" hidden="1" customHeight="1">
      <c r="A107" s="73"/>
      <c r="B107" s="116"/>
      <c r="C107" s="116"/>
      <c r="D107" s="116"/>
      <c r="E107" s="116"/>
      <c r="F107" s="116"/>
      <c r="G107" s="116"/>
      <c r="H107" s="116"/>
    </row>
    <row r="108" ht="14.25" hidden="1" customHeight="1">
      <c r="A108" s="73"/>
      <c r="B108" s="116"/>
      <c r="C108" s="116"/>
      <c r="D108" s="116"/>
      <c r="E108" s="116"/>
      <c r="F108" s="116"/>
      <c r="G108" s="116"/>
      <c r="H108" s="116"/>
    </row>
    <row r="109" ht="14.25" hidden="1" customHeight="1">
      <c r="A109" s="73" t="str">
        <f>A52</f>
        <v/>
      </c>
      <c r="B109" s="116"/>
      <c r="C109" s="116"/>
      <c r="D109" s="116"/>
      <c r="E109" s="116"/>
      <c r="F109" s="116"/>
      <c r="G109" s="116"/>
      <c r="H109" s="116"/>
    </row>
    <row r="110" ht="14.25" hidden="1" customHeight="1">
      <c r="A110" s="73"/>
      <c r="B110" s="116"/>
      <c r="C110" s="116"/>
      <c r="D110" s="116"/>
      <c r="E110" s="116"/>
      <c r="F110" s="116"/>
      <c r="G110" s="116"/>
      <c r="H110" s="116"/>
    </row>
    <row r="111" ht="14.25" hidden="1" customHeight="1">
      <c r="A111" s="73"/>
      <c r="B111" s="116"/>
      <c r="C111" s="116"/>
      <c r="D111" s="116"/>
      <c r="E111" s="116"/>
      <c r="F111" s="116"/>
      <c r="G111" s="116"/>
      <c r="H111" s="116"/>
    </row>
    <row r="112" ht="14.25" hidden="1" customHeight="1">
      <c r="A112" s="73" t="str">
        <f>A53</f>
        <v/>
      </c>
      <c r="B112" s="116"/>
      <c r="C112" s="116"/>
      <c r="D112" s="116"/>
      <c r="E112" s="116"/>
      <c r="F112" s="116"/>
      <c r="G112" s="116"/>
      <c r="H112" s="116"/>
    </row>
    <row r="113" ht="14.25" hidden="1" customHeight="1">
      <c r="A113" s="73"/>
      <c r="B113" s="116"/>
      <c r="C113" s="116"/>
      <c r="D113" s="116"/>
      <c r="E113" s="116"/>
      <c r="F113" s="116"/>
      <c r="G113" s="116"/>
      <c r="H113" s="116"/>
    </row>
    <row r="114" ht="14.25" hidden="1" customHeight="1">
      <c r="A114" s="73"/>
      <c r="B114" s="116"/>
      <c r="C114" s="116"/>
      <c r="D114" s="116"/>
      <c r="E114" s="116"/>
      <c r="F114" s="116"/>
      <c r="G114" s="116"/>
      <c r="H114" s="116"/>
    </row>
    <row r="115" ht="14.25" hidden="1" customHeight="1">
      <c r="A115" s="73" t="str">
        <f>A54</f>
        <v>Groundnut</v>
      </c>
      <c r="B115" s="116"/>
      <c r="C115" s="116"/>
      <c r="D115" s="116"/>
      <c r="E115" s="116"/>
      <c r="F115" s="116"/>
      <c r="G115" s="116"/>
      <c r="H115" s="116"/>
    </row>
    <row r="116" ht="14.25" hidden="1" customHeight="1">
      <c r="A116" s="73"/>
      <c r="B116" s="116"/>
      <c r="C116" s="116"/>
      <c r="D116" s="116"/>
      <c r="E116" s="116"/>
      <c r="F116" s="116"/>
      <c r="G116" s="116"/>
      <c r="H116" s="116"/>
    </row>
    <row r="117" ht="14.25" hidden="1" customHeight="1">
      <c r="A117" s="73"/>
      <c r="B117" s="116"/>
      <c r="C117" s="116"/>
      <c r="D117" s="116"/>
      <c r="E117" s="116"/>
      <c r="F117" s="116"/>
      <c r="G117" s="116"/>
      <c r="H117" s="116"/>
    </row>
    <row r="118" ht="14.25" hidden="1" customHeight="1">
      <c r="A118" s="73" t="str">
        <f>A55</f>
        <v/>
      </c>
      <c r="B118" s="116"/>
      <c r="C118" s="116"/>
      <c r="D118" s="116"/>
      <c r="E118" s="116"/>
      <c r="F118" s="116"/>
      <c r="G118" s="116"/>
      <c r="H118" s="116"/>
    </row>
    <row r="119" ht="14.25" hidden="1" customHeight="1">
      <c r="A119" s="73"/>
      <c r="B119" s="116"/>
      <c r="C119" s="116"/>
      <c r="D119" s="116"/>
      <c r="E119" s="116"/>
      <c r="F119" s="116"/>
      <c r="G119" s="116"/>
      <c r="H119" s="116"/>
    </row>
    <row r="120" ht="14.25" hidden="1" customHeight="1">
      <c r="A120" s="73"/>
      <c r="B120" s="116"/>
      <c r="C120" s="116"/>
      <c r="D120" s="116"/>
      <c r="E120" s="116"/>
      <c r="F120" s="116"/>
      <c r="G120" s="116"/>
      <c r="H120" s="116"/>
    </row>
    <row r="121" ht="14.25" customHeight="1">
      <c r="A121" s="73" t="str">
        <f>A56</f>
        <v/>
      </c>
      <c r="B121" s="116"/>
      <c r="C121" s="116"/>
      <c r="D121" s="116"/>
      <c r="E121" s="116"/>
      <c r="F121" s="116"/>
      <c r="G121" s="116"/>
      <c r="H121" s="116"/>
    </row>
    <row r="122" ht="14.25" customHeight="1">
      <c r="A122" s="111"/>
      <c r="B122" s="187"/>
      <c r="C122" s="187"/>
      <c r="D122" s="187"/>
      <c r="E122" s="187"/>
      <c r="F122" s="187"/>
      <c r="G122" s="187"/>
      <c r="H122" s="187"/>
    </row>
    <row r="123" ht="14.25" customHeight="1">
      <c r="A123" s="111"/>
      <c r="B123" s="187"/>
      <c r="C123" s="187"/>
      <c r="D123" s="187"/>
      <c r="E123" s="187"/>
      <c r="F123" s="187"/>
      <c r="G123" s="187"/>
      <c r="H123" s="187"/>
    </row>
    <row r="124" ht="14.25" customHeight="1">
      <c r="A124" s="111" t="s">
        <v>671</v>
      </c>
      <c r="B124">
        <v>50.0</v>
      </c>
    </row>
    <row r="125" ht="14.25" customHeight="1"/>
    <row r="126" ht="14.25" customHeight="1"/>
    <row r="127" ht="14.25" customHeight="1"/>
    <row r="128" ht="14.25" customHeight="1"/>
    <row r="129" ht="14.25" customHeight="1"/>
    <row r="130" ht="14.25" customHeight="1"/>
    <row r="131" ht="14.25" customHeight="1">
      <c r="A131" s="25" t="s">
        <v>672</v>
      </c>
    </row>
    <row r="132" ht="14.25" customHeight="1">
      <c r="A132" s="24"/>
      <c r="B132" s="24"/>
      <c r="C132" s="24"/>
      <c r="D132" s="24"/>
      <c r="E132" s="24"/>
      <c r="F132" s="24"/>
      <c r="G132" s="24"/>
      <c r="H132" s="24"/>
    </row>
    <row r="133" ht="14.25" customHeight="1">
      <c r="A133" s="367"/>
      <c r="B133" s="367"/>
      <c r="C133" s="367"/>
      <c r="D133" s="368">
        <v>1.0</v>
      </c>
      <c r="E133" s="369" t="str">
        <f t="shared" ref="E133:J133" si="24">(D133*5%)+D133</f>
        <v>105.00%</v>
      </c>
      <c r="F133" s="369" t="str">
        <f t="shared" si="24"/>
        <v>110.25%</v>
      </c>
      <c r="G133" s="369" t="str">
        <f t="shared" si="24"/>
        <v>115.76%</v>
      </c>
      <c r="H133" s="369" t="str">
        <f t="shared" si="24"/>
        <v>121.55%</v>
      </c>
      <c r="I133" s="369" t="str">
        <f t="shared" si="24"/>
        <v>127.63%</v>
      </c>
      <c r="J133" s="369" t="str">
        <f t="shared" si="24"/>
        <v>134.01%</v>
      </c>
    </row>
    <row r="134" ht="14.25" customHeight="1">
      <c r="A134" s="111"/>
      <c r="B134" s="111"/>
      <c r="C134" s="111"/>
      <c r="D134" s="111"/>
      <c r="E134" s="111"/>
      <c r="F134" s="111"/>
      <c r="G134" s="111"/>
      <c r="H134" s="111"/>
      <c r="I134" s="111"/>
      <c r="J134" s="111"/>
    </row>
    <row r="135" ht="14.25" customHeight="1">
      <c r="A135" s="114" t="s">
        <v>190</v>
      </c>
      <c r="B135" s="114" t="s">
        <v>121</v>
      </c>
      <c r="C135" s="114" t="s">
        <v>135</v>
      </c>
      <c r="D135" s="115" t="s">
        <v>193</v>
      </c>
      <c r="E135" s="115" t="s">
        <v>194</v>
      </c>
      <c r="F135" s="115" t="s">
        <v>195</v>
      </c>
      <c r="G135" s="115" t="s">
        <v>196</v>
      </c>
      <c r="H135" s="115" t="s">
        <v>197</v>
      </c>
      <c r="I135" s="115" t="s">
        <v>198</v>
      </c>
      <c r="J135" s="115" t="s">
        <v>199</v>
      </c>
    </row>
    <row r="136" ht="14.25" customHeight="1">
      <c r="A136" s="73"/>
      <c r="B136" s="73"/>
      <c r="C136" s="73"/>
      <c r="D136" s="73"/>
      <c r="E136" s="73"/>
      <c r="F136" s="73"/>
      <c r="G136" s="73"/>
      <c r="H136" s="73"/>
      <c r="I136" s="73"/>
      <c r="J136" s="73"/>
    </row>
    <row r="137" ht="14.25" customHeight="1">
      <c r="A137" s="117" t="s">
        <v>404</v>
      </c>
      <c r="B137" s="117"/>
      <c r="C137" s="117"/>
      <c r="D137" s="202"/>
      <c r="E137" s="202"/>
      <c r="F137" s="202"/>
      <c r="G137" s="202"/>
      <c r="H137" s="202"/>
      <c r="I137" s="73"/>
      <c r="J137" s="73"/>
    </row>
    <row r="138" ht="14.25" customHeight="1">
      <c r="A138" s="73" t="s">
        <v>673</v>
      </c>
      <c r="B138" s="73" t="s">
        <v>674</v>
      </c>
      <c r="C138" s="73" t="str">
        <f>100*50</f>
        <v>5000</v>
      </c>
      <c r="D138" s="116" t="str">
        <f>((((1-'5.Closing Stock &amp; W Capital'!$D$17)*B63)*100)/50)*$C138*D$133</f>
        <v>  5,542,709 </v>
      </c>
      <c r="E138" s="116" t="str">
        <f>(((((1-'5.Closing Stock &amp; W Capital'!$D$17)*C63)+('5.Closing Stock &amp; W Capital'!$D$17*B63))*100)/50)*$C138*E$133</f>
        <v>  6,908,590 </v>
      </c>
      <c r="F138" s="116" t="str">
        <f>(((((1-'5.Closing Stock &amp; W Capital'!$D$17)*D63)+('5.Closing Stock &amp; W Capital'!$D$17*C63))*100)/50)*$C138*F$133</f>
        <v>  8,293,278 </v>
      </c>
      <c r="G138" s="116" t="str">
        <f>(((((1-'5.Closing Stock &amp; W Capital'!$D$17)*E63)+('5.Closing Stock &amp; W Capital'!$D$17*D63))*100)/50)*$C138*G$133</f>
        <v>  9,799,162 </v>
      </c>
      <c r="H138" s="116" t="str">
        <f>(((((1-'5.Closing Stock &amp; W Capital'!$D$17)*F63)+('5.Closing Stock &amp; W Capital'!$D$17*E63))*100)/50)*$C138*H$133</f>
        <v>  11,434,902 </v>
      </c>
      <c r="I138" s="116" t="str">
        <f>(((((1-'5.Closing Stock &amp; W Capital'!$D$17)*G63)+('5.Closing Stock &amp; W Capital'!$D$17*F63))*100)/50)*$C138*I$133</f>
        <v>  13,209,718 </v>
      </c>
      <c r="J138" s="116" t="str">
        <f>(((((1-'5.Closing Stock &amp; W Capital'!$D$17)*H63)+('5.Closing Stock &amp; W Capital'!$D$17*G63))*100)/50)*$C138*J$133</f>
        <v>  15,133,428 </v>
      </c>
    </row>
    <row r="139" ht="14.25" customHeight="1">
      <c r="A139" s="73" t="s">
        <v>675</v>
      </c>
      <c r="B139" s="73" t="s">
        <v>674</v>
      </c>
      <c r="C139" s="73" t="str">
        <f>85*50</f>
        <v>4250</v>
      </c>
      <c r="D139" s="116" t="str">
        <f>((((1-'5.Closing Stock &amp; W Capital'!$D$17)*B95)*100)/50)*$C139*D$133</f>
        <v>  3,140,868 </v>
      </c>
      <c r="E139" s="116" t="str">
        <f>(((((1-'5.Closing Stock &amp; W Capital'!$D$17)*C95)+('5.Closing Stock &amp; W Capital'!$D$17*B95))*100)/50)*$C139*E$133</f>
        <v>  3,914,868 </v>
      </c>
      <c r="F139" s="116" t="str">
        <f>(((((1-'5.Closing Stock &amp; W Capital'!$D$17)*D95)+('5.Closing Stock &amp; W Capital'!$D$17*C95))*100)/50)*$C139*F$133</f>
        <v>  4,699,524 </v>
      </c>
      <c r="G139" s="116" t="str">
        <f>(((((1-'5.Closing Stock &amp; W Capital'!$D$17)*E95)+('5.Closing Stock &amp; W Capital'!$D$17*D95))*100)/50)*$C139*G$133</f>
        <v>  5,552,859 </v>
      </c>
      <c r="H139" s="116" t="str">
        <f>(((((1-'5.Closing Stock &amp; W Capital'!$D$17)*F95)+('5.Closing Stock &amp; W Capital'!$D$17*E95))*100)/50)*$C139*H$133</f>
        <v>  6,479,778 </v>
      </c>
      <c r="I139" s="116" t="str">
        <f>(((((1-'5.Closing Stock &amp; W Capital'!$D$17)*G95)+('5.Closing Stock &amp; W Capital'!$D$17*F95))*100)/50)*$C139*I$133</f>
        <v>  7,485,507 </v>
      </c>
      <c r="J139" s="116" t="str">
        <f>(((((1-'5.Closing Stock &amp; W Capital'!$D$17)*H95)+('5.Closing Stock &amp; W Capital'!$D$17*G95))*100)/50)*$C139*J$133</f>
        <v>  8,575,609 </v>
      </c>
      <c r="K139" s="44"/>
      <c r="L139" s="44"/>
    </row>
    <row r="140" ht="14.25" customHeight="1">
      <c r="A140" s="73" t="s">
        <v>676</v>
      </c>
      <c r="B140" s="73" t="s">
        <v>674</v>
      </c>
      <c r="C140" s="73" t="str">
        <f t="shared" ref="C140:C141" si="25">95*50</f>
        <v>4750</v>
      </c>
      <c r="D140" s="116" t="str">
        <f>((((1-'5.Closing Stock &amp; W Capital'!$D$17)*B70)*100)/50)*$C140*D$133</f>
        <v>  2,005,933 </v>
      </c>
      <c r="E140" s="116" t="str">
        <f>(((((1-'5.Closing Stock &amp; W Capital'!$D$17)*C70)+('5.Closing Stock &amp; W Capital'!$D$17*B70))*100)/50)*$C140*E$133</f>
        <v>  2,500,252 </v>
      </c>
      <c r="F140" s="116" t="str">
        <f>(((((1-'5.Closing Stock &amp; W Capital'!$D$17)*D70)+('5.Closing Stock &amp; W Capital'!$D$17*C70))*100)/50)*$C140*F$133</f>
        <v>  3,001,377 </v>
      </c>
      <c r="G140" s="116" t="str">
        <f>(((((1-'5.Closing Stock &amp; W Capital'!$D$17)*E70)+('5.Closing Stock &amp; W Capital'!$D$17*D70))*100)/50)*$C140*G$133</f>
        <v>  3,546,363 </v>
      </c>
      <c r="H140" s="116" t="str">
        <f>(((((1-'5.Closing Stock &amp; W Capital'!$D$17)*F70)+('5.Closing Stock &amp; W Capital'!$D$17*E70))*100)/50)*$C140*H$133</f>
        <v>  4,138,346 </v>
      </c>
      <c r="I140" s="116" t="str">
        <f>(((((1-'5.Closing Stock &amp; W Capital'!$D$17)*G70)+('5.Closing Stock &amp; W Capital'!$D$17*F70))*100)/50)*$C140*I$133</f>
        <v>  4,780,660 </v>
      </c>
      <c r="J140" s="116" t="str">
        <f>(((((1-'5.Closing Stock &amp; W Capital'!$D$17)*H70)+('5.Closing Stock &amp; W Capital'!$D$17*G70))*100)/50)*$C140*J$133</f>
        <v>  5,476,860 </v>
      </c>
      <c r="K140" s="44"/>
      <c r="L140" s="44"/>
    </row>
    <row r="141" ht="14.25" customHeight="1">
      <c r="A141" s="73" t="s">
        <v>677</v>
      </c>
      <c r="B141" s="73" t="s">
        <v>674</v>
      </c>
      <c r="C141" s="73" t="str">
        <f t="shared" si="25"/>
        <v>4750</v>
      </c>
      <c r="D141" s="116" t="str">
        <f>((((1-'5.Closing Stock &amp; W Capital'!$D$17)*B78)*100)/50)*$C141*D$133</f>
        <v>  1,719,371 </v>
      </c>
      <c r="E141" s="116" t="str">
        <f>(((((1-'5.Closing Stock &amp; W Capital'!$D$17)*C78)+('5.Closing Stock &amp; W Capital'!$D$17*B78))*100)/50)*$C141*E$133</f>
        <v>  2,143,073 </v>
      </c>
      <c r="F141" s="116" t="str">
        <f>(((((1-'5.Closing Stock &amp; W Capital'!$D$17)*D78)+('5.Closing Stock &amp; W Capital'!$D$17*C78))*100)/50)*$C141*F$133</f>
        <v>  2,572,609 </v>
      </c>
      <c r="G141" s="116" t="str">
        <f>(((((1-'5.Closing Stock &amp; W Capital'!$D$17)*E78)+('5.Closing Stock &amp; W Capital'!$D$17*D78))*100)/50)*$C141*G$133</f>
        <v>  3,039,740 </v>
      </c>
      <c r="H141" s="116" t="str">
        <f>(((((1-'5.Closing Stock &amp; W Capital'!$D$17)*F78)+('5.Closing Stock &amp; W Capital'!$D$17*E78))*100)/50)*$C141*H$133</f>
        <v>  3,547,153 </v>
      </c>
      <c r="I141" s="116" t="str">
        <f>(((((1-'5.Closing Stock &amp; W Capital'!$D$17)*G78)+('5.Closing Stock &amp; W Capital'!$D$17*F78))*100)/50)*$C141*I$133</f>
        <v>  4,097,708 </v>
      </c>
      <c r="J141" s="116" t="str">
        <f>(((((1-'5.Closing Stock &amp; W Capital'!$D$17)*H78)+('5.Closing Stock &amp; W Capital'!$D$17*G78))*100)/50)*$C141*J$133</f>
        <v>  4,694,451 </v>
      </c>
    </row>
    <row r="142" ht="14.25" customHeight="1">
      <c r="A142" s="117" t="s">
        <v>670</v>
      </c>
      <c r="B142" s="73" t="s">
        <v>678</v>
      </c>
      <c r="C142" s="73" t="str">
        <f>10*100</f>
        <v>1000</v>
      </c>
      <c r="D142" s="116" t="str">
        <f t="shared" ref="D142:J142" si="26">(B64+B71+B79+B96)*$C$142*D133</f>
        <v>  423,225 </v>
      </c>
      <c r="E142" s="116" t="str">
        <f t="shared" si="26"/>
        <v>  518,451 </v>
      </c>
      <c r="F142" s="116" t="str">
        <f t="shared" si="26"/>
        <v>  622,141 </v>
      </c>
      <c r="G142" s="116" t="str">
        <f t="shared" si="26"/>
        <v>  734,904 </v>
      </c>
      <c r="H142" s="116" t="str">
        <f t="shared" si="26"/>
        <v>  857,388 </v>
      </c>
      <c r="I142" s="116" t="str">
        <f t="shared" si="26"/>
        <v>  990,283 </v>
      </c>
      <c r="J142" s="116" t="str">
        <f t="shared" si="26"/>
        <v>  1,134,324 </v>
      </c>
    </row>
    <row r="143" ht="14.25" customHeight="1">
      <c r="A143" s="73"/>
      <c r="B143" s="73"/>
      <c r="C143" s="73"/>
      <c r="D143" s="116"/>
      <c r="E143" s="116"/>
      <c r="F143" s="116"/>
      <c r="G143" s="116"/>
      <c r="H143" s="116"/>
      <c r="I143" s="116"/>
      <c r="J143" s="116"/>
    </row>
    <row r="144" ht="14.25" customHeight="1">
      <c r="A144" s="73" t="s">
        <v>645</v>
      </c>
      <c r="B144" s="73" t="s">
        <v>678</v>
      </c>
      <c r="C144" s="73">
        <v>800.0</v>
      </c>
      <c r="D144" s="116" t="str">
        <f t="shared" ref="D144:J144" si="27">B35*$C$144*D133</f>
        <v>  3,447,360 </v>
      </c>
      <c r="E144" s="116" t="str">
        <f t="shared" si="27"/>
        <v>  4,223,016 </v>
      </c>
      <c r="F144" s="116" t="str">
        <f t="shared" si="27"/>
        <v>  5,067,619 </v>
      </c>
      <c r="G144" s="116" t="str">
        <f t="shared" si="27"/>
        <v>  5,986,125 </v>
      </c>
      <c r="H144" s="116" t="str">
        <f t="shared" si="27"/>
        <v>  6,983,813 </v>
      </c>
      <c r="I144" s="116" t="str">
        <f t="shared" si="27"/>
        <v>  8,066,304 </v>
      </c>
      <c r="J144" s="116" t="str">
        <f t="shared" si="27"/>
        <v>  9,239,584 </v>
      </c>
    </row>
    <row r="145" ht="14.25" customHeight="1">
      <c r="A145" s="73"/>
      <c r="B145" s="73" t="str">
        <f>B144</f>
        <v>100 Kg</v>
      </c>
      <c r="C145" s="73"/>
      <c r="D145" s="116"/>
      <c r="E145" s="116"/>
      <c r="F145" s="116"/>
      <c r="G145" s="116"/>
      <c r="H145" s="116"/>
      <c r="I145" s="116"/>
      <c r="J145" s="116"/>
    </row>
    <row r="146" ht="14.25" customHeight="1">
      <c r="A146" s="117" t="s">
        <v>404</v>
      </c>
      <c r="B146" s="117"/>
      <c r="C146" s="117"/>
      <c r="D146" s="118" t="str">
        <f t="shared" ref="D146:J146" si="28">SUM(D138:D145)</f>
        <v>  16,279,465 </v>
      </c>
      <c r="E146" s="118" t="str">
        <f t="shared" si="28"/>
        <v>  20,208,249 </v>
      </c>
      <c r="F146" s="118" t="str">
        <f t="shared" si="28"/>
        <v>  24,256,547 </v>
      </c>
      <c r="G146" s="118" t="str">
        <f t="shared" si="28"/>
        <v>  28,659,153 </v>
      </c>
      <c r="H146" s="118" t="str">
        <f t="shared" si="28"/>
        <v>  33,441,379 </v>
      </c>
      <c r="I146" s="118" t="str">
        <f t="shared" si="28"/>
        <v>  38,630,180 </v>
      </c>
      <c r="J146" s="118" t="str">
        <f t="shared" si="28"/>
        <v>  44,254,257 </v>
      </c>
    </row>
    <row r="147" ht="14.25" customHeight="1">
      <c r="A147" s="73"/>
      <c r="B147" s="73"/>
      <c r="C147" s="73"/>
      <c r="D147" s="116"/>
      <c r="E147" s="116"/>
      <c r="F147" s="116"/>
      <c r="G147" s="116"/>
      <c r="H147" s="116"/>
      <c r="I147" s="116"/>
      <c r="J147" s="116"/>
    </row>
    <row r="148" ht="14.25" customHeight="1">
      <c r="A148" s="117" t="s">
        <v>646</v>
      </c>
      <c r="B148" s="117"/>
      <c r="C148" s="117"/>
      <c r="D148" s="116"/>
      <c r="E148" s="116"/>
      <c r="F148" s="116"/>
      <c r="G148" s="116"/>
      <c r="H148" s="116"/>
      <c r="I148" s="116"/>
      <c r="J148" s="116"/>
    </row>
    <row r="149" ht="14.25" customHeight="1">
      <c r="A149" s="117" t="s">
        <v>412</v>
      </c>
      <c r="B149" s="117"/>
      <c r="C149" s="73"/>
      <c r="D149" s="116"/>
      <c r="E149" s="116"/>
      <c r="F149" s="116"/>
      <c r="G149" s="116"/>
      <c r="H149" s="116"/>
      <c r="I149" s="116"/>
      <c r="J149" s="116"/>
    </row>
    <row r="150" ht="14.25" customHeight="1">
      <c r="A150" s="73" t="s">
        <v>380</v>
      </c>
      <c r="B150" s="73" t="s">
        <v>679</v>
      </c>
      <c r="C150" s="116">
        <v>6500.0</v>
      </c>
      <c r="D150" s="116" t="str">
        <f t="shared" ref="D150:J150" si="29">B38*$C$150*D133</f>
        <v>  5,251,838 </v>
      </c>
      <c r="E150" s="116" t="str">
        <f t="shared" si="29"/>
        <v>  6,433,501 </v>
      </c>
      <c r="F150" s="116" t="str">
        <f t="shared" si="29"/>
        <v>  7,720,201 </v>
      </c>
      <c r="G150" s="116" t="str">
        <f t="shared" si="29"/>
        <v>  9,119,488 </v>
      </c>
      <c r="H150" s="116" t="str">
        <f t="shared" si="29"/>
        <v>  10,639,402 </v>
      </c>
      <c r="I150" s="116" t="str">
        <f t="shared" si="29"/>
        <v>  12,288,510 </v>
      </c>
      <c r="J150" s="116" t="str">
        <f t="shared" si="29"/>
        <v>  14,075,929 </v>
      </c>
    </row>
    <row r="151" ht="14.25" customHeight="1">
      <c r="A151" s="73" t="s">
        <v>379</v>
      </c>
      <c r="B151" s="73" t="s">
        <v>679</v>
      </c>
      <c r="C151" s="116">
        <v>5500.0</v>
      </c>
      <c r="D151" s="116" t="str">
        <f t="shared" ref="D151:J151" si="30">B47*$C$151*D133</f>
        <v>  2,962,575 </v>
      </c>
      <c r="E151" s="116" t="str">
        <f t="shared" si="30"/>
        <v>  3,629,154 </v>
      </c>
      <c r="F151" s="116" t="str">
        <f t="shared" si="30"/>
        <v>  4,354,985 </v>
      </c>
      <c r="G151" s="116" t="str">
        <f t="shared" si="30"/>
        <v>  5,144,326 </v>
      </c>
      <c r="H151" s="116" t="str">
        <f t="shared" si="30"/>
        <v>  6,001,714 </v>
      </c>
      <c r="I151" s="116" t="str">
        <f t="shared" si="30"/>
        <v>  6,931,980 </v>
      </c>
      <c r="J151" s="116" t="str">
        <f t="shared" si="30"/>
        <v>  7,940,268 </v>
      </c>
    </row>
    <row r="152" ht="14.25" customHeight="1">
      <c r="A152" s="73" t="s">
        <v>382</v>
      </c>
      <c r="B152" s="73" t="s">
        <v>679</v>
      </c>
      <c r="C152" s="116">
        <v>6500.0</v>
      </c>
      <c r="D152" s="116" t="str">
        <f t="shared" ref="D152:J152" si="31">B40*$C$152*D133</f>
        <v>  1,750,613 </v>
      </c>
      <c r="E152" s="116" t="str">
        <f t="shared" si="31"/>
        <v>  2,144,500 </v>
      </c>
      <c r="F152" s="116" t="str">
        <f t="shared" si="31"/>
        <v>  2,573,400 </v>
      </c>
      <c r="G152" s="116" t="str">
        <f t="shared" si="31"/>
        <v>  3,039,829 </v>
      </c>
      <c r="H152" s="116" t="str">
        <f t="shared" si="31"/>
        <v>  3,546,467 </v>
      </c>
      <c r="I152" s="116" t="str">
        <f t="shared" si="31"/>
        <v>  4,096,170 </v>
      </c>
      <c r="J152" s="116" t="str">
        <f t="shared" si="31"/>
        <v>  4,691,976 </v>
      </c>
    </row>
    <row r="153" ht="14.25" customHeight="1">
      <c r="A153" s="73" t="s">
        <v>381</v>
      </c>
      <c r="B153" s="73" t="s">
        <v>679</v>
      </c>
      <c r="C153" s="116">
        <v>6500.0</v>
      </c>
      <c r="D153" s="116" t="str">
        <f t="shared" ref="D153:J153" si="32">B42*$C$153*D133</f>
        <v>  1,500,525 </v>
      </c>
      <c r="E153" s="116" t="str">
        <f t="shared" si="32"/>
        <v>  1,838,143 </v>
      </c>
      <c r="F153" s="116" t="str">
        <f t="shared" si="32"/>
        <v>  2,205,772 </v>
      </c>
      <c r="G153" s="116" t="str">
        <f t="shared" si="32"/>
        <v>  2,605,568 </v>
      </c>
      <c r="H153" s="116" t="str">
        <f t="shared" si="32"/>
        <v>  3,039,829 </v>
      </c>
      <c r="I153" s="116" t="str">
        <f t="shared" si="32"/>
        <v>  3,511,003 </v>
      </c>
      <c r="J153" s="116" t="str">
        <f t="shared" si="32"/>
        <v>  4,021,694 </v>
      </c>
    </row>
    <row r="154" ht="14.25" customHeight="1">
      <c r="A154" s="73" t="s">
        <v>680</v>
      </c>
      <c r="B154" s="73">
        <v>2.0</v>
      </c>
      <c r="C154" s="116">
        <v>100.0</v>
      </c>
      <c r="D154" s="116" t="str">
        <f t="shared" ref="D154:J154" si="33">(B32/10)*$B$154*$C$154*D133</f>
        <v>  123,120 </v>
      </c>
      <c r="E154" s="116" t="str">
        <f t="shared" si="33"/>
        <v>  150,822 </v>
      </c>
      <c r="F154" s="116" t="str">
        <f t="shared" si="33"/>
        <v>  180,986 </v>
      </c>
      <c r="G154" s="116" t="str">
        <f t="shared" si="33"/>
        <v>  213,790 </v>
      </c>
      <c r="H154" s="116" t="str">
        <f t="shared" si="33"/>
        <v>  249,422 </v>
      </c>
      <c r="I154" s="116" t="str">
        <f t="shared" si="33"/>
        <v>  288,082 </v>
      </c>
      <c r="J154" s="116" t="str">
        <f t="shared" si="33"/>
        <v>  329,985 </v>
      </c>
    </row>
    <row r="155" ht="14.25" customHeight="1">
      <c r="A155" s="73" t="s">
        <v>681</v>
      </c>
      <c r="B155" s="73">
        <v>3.0</v>
      </c>
      <c r="C155" s="73">
        <v>300.0</v>
      </c>
      <c r="D155" s="116" t="str">
        <f t="shared" ref="D155:J155" si="34">B12*$B$155*$C$155*D133</f>
        <v>  138,510 </v>
      </c>
      <c r="E155" s="116" t="str">
        <f t="shared" si="34"/>
        <v>  169,675 </v>
      </c>
      <c r="F155" s="116" t="str">
        <f t="shared" si="34"/>
        <v>  203,610 </v>
      </c>
      <c r="G155" s="116" t="str">
        <f t="shared" si="34"/>
        <v>  240,514 </v>
      </c>
      <c r="H155" s="116" t="str">
        <f t="shared" si="34"/>
        <v>  280,600 </v>
      </c>
      <c r="I155" s="116" t="str">
        <f t="shared" si="34"/>
        <v>  324,093 </v>
      </c>
      <c r="J155" s="116" t="str">
        <f t="shared" si="34"/>
        <v>  371,233 </v>
      </c>
    </row>
    <row r="156" ht="14.25" customHeight="1">
      <c r="A156" s="73" t="s">
        <v>648</v>
      </c>
      <c r="B156" s="73" t="str">
        <f>70*0.746*8</f>
        <v>417.76</v>
      </c>
      <c r="C156" s="73">
        <v>8.0</v>
      </c>
      <c r="D156" s="116" t="str">
        <f t="shared" ref="D156:J156" si="35">B12*$B$156*$C$156*D133</f>
        <v>  514,346 </v>
      </c>
      <c r="E156" s="116" t="str">
        <f t="shared" si="35"/>
        <v>  630,074 </v>
      </c>
      <c r="F156" s="116" t="str">
        <f t="shared" si="35"/>
        <v>  756,089 </v>
      </c>
      <c r="G156" s="116" t="str">
        <f t="shared" si="35"/>
        <v>  893,130 </v>
      </c>
      <c r="H156" s="116" t="str">
        <f t="shared" si="35"/>
        <v>  1,041,985 </v>
      </c>
      <c r="I156" s="116" t="str">
        <f t="shared" si="35"/>
        <v>  1,203,493 </v>
      </c>
      <c r="J156" s="116" t="str">
        <f t="shared" si="35"/>
        <v>  1,378,546 </v>
      </c>
    </row>
    <row r="157" ht="14.25" customHeight="1">
      <c r="A157" s="298" t="s">
        <v>682</v>
      </c>
      <c r="B157" s="298"/>
      <c r="C157" s="298">
        <v>25.0</v>
      </c>
      <c r="D157" s="116" t="str">
        <f t="shared" ref="D157:J157" si="36">(((B70+B78+B63+B95)*100)/50)*$C$157*D133</f>
        <v>  67,139 </v>
      </c>
      <c r="E157" s="116" t="str">
        <f t="shared" si="36"/>
        <v>  82,245 </v>
      </c>
      <c r="F157" s="116" t="str">
        <f t="shared" si="36"/>
        <v>  98,694 </v>
      </c>
      <c r="G157" s="116" t="str">
        <f t="shared" si="36"/>
        <v>  116,582 </v>
      </c>
      <c r="H157" s="116" t="str">
        <f t="shared" si="36"/>
        <v>  136,013 </v>
      </c>
      <c r="I157" s="116" t="str">
        <f t="shared" si="36"/>
        <v>  157,095 </v>
      </c>
      <c r="J157" s="116" t="str">
        <f t="shared" si="36"/>
        <v>  179,945 </v>
      </c>
    </row>
    <row r="158" ht="14.25" customHeight="1">
      <c r="A158" s="73" t="s">
        <v>683</v>
      </c>
      <c r="B158" s="73"/>
      <c r="C158" s="73">
        <v>30.0</v>
      </c>
      <c r="D158" s="116" t="str">
        <f t="shared" ref="D158:J158" si="37">SUM(B63:B99)*$C$158*D133</f>
        <v>  52,980 </v>
      </c>
      <c r="E158" s="116" t="str">
        <f t="shared" si="37"/>
        <v>  64,901 </v>
      </c>
      <c r="F158" s="116" t="str">
        <f t="shared" si="37"/>
        <v>  77,881 </v>
      </c>
      <c r="G158" s="116" t="str">
        <f t="shared" si="37"/>
        <v>  91,997 </v>
      </c>
      <c r="H158" s="116" t="str">
        <f t="shared" si="37"/>
        <v>  107,329 </v>
      </c>
      <c r="I158" s="116" t="str">
        <f t="shared" si="37"/>
        <v>  123,965 </v>
      </c>
      <c r="J158" s="116" t="str">
        <f t="shared" si="37"/>
        <v>  141,997 </v>
      </c>
    </row>
    <row r="159" ht="14.25" customHeight="1">
      <c r="A159" s="85"/>
      <c r="B159" s="85"/>
      <c r="C159" s="85"/>
      <c r="D159" s="168"/>
      <c r="E159" s="85"/>
      <c r="F159" s="85"/>
      <c r="G159" s="85"/>
      <c r="H159" s="85"/>
      <c r="I159" s="85"/>
      <c r="J159" s="85"/>
    </row>
    <row r="160" ht="14.25" customHeight="1">
      <c r="A160" s="85"/>
      <c r="B160" s="85"/>
      <c r="C160" s="85"/>
      <c r="D160" s="375"/>
      <c r="E160" s="85"/>
      <c r="F160" s="85"/>
      <c r="G160" s="85"/>
      <c r="H160" s="85"/>
      <c r="I160" s="85"/>
      <c r="J160" s="85"/>
    </row>
    <row r="161" ht="14.25" customHeight="1">
      <c r="A161" s="85"/>
      <c r="B161" s="85"/>
      <c r="C161" s="85"/>
      <c r="D161" s="85"/>
      <c r="E161" s="85"/>
      <c r="F161" s="85"/>
      <c r="G161" s="85"/>
      <c r="H161" s="85"/>
      <c r="I161" s="85"/>
      <c r="J161" s="85"/>
    </row>
    <row r="162" ht="14.25" customHeight="1">
      <c r="A162" s="116" t="s">
        <v>651</v>
      </c>
      <c r="B162" s="116"/>
      <c r="C162" s="116"/>
      <c r="D162" s="116"/>
      <c r="E162" s="116" t="str">
        <f>'5.Closing Stock &amp; W Capital'!F8</f>
        <v>  247,233 </v>
      </c>
      <c r="F162" s="116" t="str">
        <f>'5.Closing Stock &amp; W Capital'!G8</f>
        <v>  302,860 </v>
      </c>
      <c r="G162" s="116" t="str">
        <f>'5.Closing Stock &amp; W Capital'!H8</f>
        <v>  363,432 </v>
      </c>
      <c r="H162" s="116" t="str">
        <f>'5.Closing Stock &amp; W Capital'!I8</f>
        <v>  429,304 </v>
      </c>
      <c r="I162" s="116" t="str">
        <f>'5.Closing Stock &amp; W Capital'!J8</f>
        <v>  500,855 </v>
      </c>
      <c r="J162" s="116" t="str">
        <f>'5.Closing Stock &amp; W Capital'!K8</f>
        <v>  578,488 </v>
      </c>
    </row>
    <row r="163" ht="14.25" customHeight="1">
      <c r="A163" s="116" t="s">
        <v>652</v>
      </c>
      <c r="B163" s="116"/>
      <c r="C163" s="116"/>
      <c r="D163" s="116" t="str">
        <f>'5.Closing Stock &amp; W Capital'!E17</f>
        <v>  247,233 </v>
      </c>
      <c r="E163" s="116" t="str">
        <f>'5.Closing Stock &amp; W Capital'!F17</f>
        <v>  302,860 </v>
      </c>
      <c r="F163" s="116" t="str">
        <f>'5.Closing Stock &amp; W Capital'!G17</f>
        <v>  363,432 </v>
      </c>
      <c r="G163" s="116" t="str">
        <f>'5.Closing Stock &amp; W Capital'!H17</f>
        <v>  429,304 </v>
      </c>
      <c r="H163" s="116" t="str">
        <f>'5.Closing Stock &amp; W Capital'!I17</f>
        <v>  500,855 </v>
      </c>
      <c r="I163" s="116" t="str">
        <f>'5.Closing Stock &amp; W Capital'!J17</f>
        <v>  578,488 </v>
      </c>
      <c r="J163" s="116" t="str">
        <f>'5.Closing Stock &amp; W Capital'!K17</f>
        <v>  662,631 </v>
      </c>
    </row>
    <row r="164" ht="14.25" customHeight="1">
      <c r="A164" s="116"/>
      <c r="B164" s="116"/>
      <c r="C164" s="116"/>
      <c r="D164" s="116"/>
      <c r="E164" s="116"/>
      <c r="F164" s="116"/>
      <c r="G164" s="116"/>
      <c r="H164" s="116"/>
      <c r="I164" s="116"/>
      <c r="J164" s="116"/>
    </row>
    <row r="165" ht="14.25" customHeight="1">
      <c r="A165" s="118" t="s">
        <v>413</v>
      </c>
      <c r="B165" s="116"/>
      <c r="C165" s="116"/>
      <c r="D165" s="118" t="str">
        <f t="shared" ref="D165:J165" si="38">SUM(D150:D162)-D163</f>
        <v>  12,114,412 </v>
      </c>
      <c r="E165" s="118" t="str">
        <f t="shared" si="38"/>
        <v>  15,087,388 </v>
      </c>
      <c r="F165" s="118" t="str">
        <f t="shared" si="38"/>
        <v>  18,111,046 </v>
      </c>
      <c r="G165" s="118" t="str">
        <f t="shared" si="38"/>
        <v>  21,399,352 </v>
      </c>
      <c r="H165" s="118" t="str">
        <f t="shared" si="38"/>
        <v>  24,971,211 </v>
      </c>
      <c r="I165" s="118" t="str">
        <f t="shared" si="38"/>
        <v>  28,846,757 </v>
      </c>
      <c r="J165" s="118" t="str">
        <f t="shared" si="38"/>
        <v>  33,047,430 </v>
      </c>
    </row>
    <row r="166" ht="14.25" customHeight="1">
      <c r="A166" s="73"/>
      <c r="B166" s="73"/>
      <c r="C166" s="73"/>
      <c r="D166" s="73"/>
      <c r="E166" s="73"/>
      <c r="F166" s="73"/>
      <c r="G166" s="73"/>
      <c r="H166" s="73"/>
      <c r="I166" s="73"/>
      <c r="J166" s="73"/>
    </row>
    <row r="167" ht="14.25" customHeight="1">
      <c r="A167" s="376" t="s">
        <v>414</v>
      </c>
      <c r="B167" s="376"/>
      <c r="C167" s="376"/>
      <c r="D167" s="118"/>
      <c r="E167" s="118"/>
      <c r="F167" s="118"/>
      <c r="G167" s="118"/>
      <c r="H167" s="118"/>
      <c r="I167" s="118"/>
      <c r="J167" s="118"/>
    </row>
    <row r="168" ht="14.25" customHeight="1">
      <c r="A168" s="73" t="s">
        <v>653</v>
      </c>
      <c r="B168" s="73">
        <v>1.0</v>
      </c>
      <c r="C168" s="116">
        <v>10000.0</v>
      </c>
      <c r="D168" s="116" t="str">
        <f t="shared" ref="D168:J168" si="39">$B$168*$C$168*D133*12</f>
        <v>  120,000 </v>
      </c>
      <c r="E168" s="116" t="str">
        <f t="shared" si="39"/>
        <v>  126,000 </v>
      </c>
      <c r="F168" s="116" t="str">
        <f t="shared" si="39"/>
        <v>  132,300 </v>
      </c>
      <c r="G168" s="116" t="str">
        <f t="shared" si="39"/>
        <v>  138,915 </v>
      </c>
      <c r="H168" s="116" t="str">
        <f t="shared" si="39"/>
        <v>  145,861 </v>
      </c>
      <c r="I168" s="116" t="str">
        <f t="shared" si="39"/>
        <v>  153,154 </v>
      </c>
      <c r="J168" s="116" t="str">
        <f t="shared" si="39"/>
        <v>  160,811 </v>
      </c>
    </row>
    <row r="169" ht="14.25" customHeight="1">
      <c r="A169" s="73"/>
      <c r="B169" s="73"/>
      <c r="C169" s="116"/>
      <c r="D169" s="116"/>
      <c r="E169" s="116"/>
      <c r="F169" s="116"/>
      <c r="G169" s="116"/>
      <c r="H169" s="116"/>
      <c r="I169" s="116"/>
      <c r="J169" s="116"/>
    </row>
    <row r="170" ht="14.25" customHeight="1">
      <c r="A170" s="73"/>
      <c r="B170" s="73"/>
      <c r="C170" s="116"/>
      <c r="D170" s="116"/>
      <c r="E170" s="116"/>
      <c r="F170" s="116"/>
      <c r="G170" s="116"/>
      <c r="H170" s="116"/>
      <c r="I170" s="116"/>
      <c r="J170" s="116"/>
    </row>
    <row r="171" ht="14.25" customHeight="1">
      <c r="A171" s="117" t="s">
        <v>414</v>
      </c>
      <c r="B171" s="117"/>
      <c r="C171" s="117"/>
      <c r="D171" s="118" t="str">
        <f t="shared" ref="D171:J171" si="40">SUM(D168:D169)</f>
        <v>  120,000 </v>
      </c>
      <c r="E171" s="118" t="str">
        <f t="shared" si="40"/>
        <v>  126,000 </v>
      </c>
      <c r="F171" s="118" t="str">
        <f t="shared" si="40"/>
        <v>  132,300 </v>
      </c>
      <c r="G171" s="118" t="str">
        <f t="shared" si="40"/>
        <v>  138,915 </v>
      </c>
      <c r="H171" s="118" t="str">
        <f t="shared" si="40"/>
        <v>  145,861 </v>
      </c>
      <c r="I171" s="118" t="str">
        <f t="shared" si="40"/>
        <v>  153,154 </v>
      </c>
      <c r="J171" s="118" t="str">
        <f t="shared" si="40"/>
        <v>  160,811 </v>
      </c>
    </row>
    <row r="172" ht="14.25" customHeight="1">
      <c r="A172" s="376" t="s">
        <v>684</v>
      </c>
      <c r="B172" s="376"/>
      <c r="C172" s="376"/>
      <c r="D172" s="118" t="str">
        <f t="shared" ref="D172:J172" si="41">D165+D171</f>
        <v>  12,234,412 </v>
      </c>
      <c r="E172" s="118" t="str">
        <f t="shared" si="41"/>
        <v>  15,213,388 </v>
      </c>
      <c r="F172" s="118" t="str">
        <f t="shared" si="41"/>
        <v>  18,243,346 </v>
      </c>
      <c r="G172" s="118" t="str">
        <f t="shared" si="41"/>
        <v>  21,538,267 </v>
      </c>
      <c r="H172" s="118" t="str">
        <f t="shared" si="41"/>
        <v>  25,117,071 </v>
      </c>
      <c r="I172" s="118" t="str">
        <f t="shared" si="41"/>
        <v>  28,999,911 </v>
      </c>
      <c r="J172" s="118" t="str">
        <f t="shared" si="41"/>
        <v>  33,208,241 </v>
      </c>
    </row>
    <row r="173" ht="14.25" customHeight="1">
      <c r="A173" s="73"/>
      <c r="B173" s="73"/>
      <c r="C173" s="73"/>
      <c r="D173" s="116"/>
      <c r="E173" s="116"/>
      <c r="F173" s="116"/>
      <c r="G173" s="116"/>
      <c r="H173" s="116"/>
      <c r="I173" s="116"/>
      <c r="J173" s="116"/>
    </row>
    <row r="174" ht="14.25" customHeight="1">
      <c r="A174" s="117" t="s">
        <v>461</v>
      </c>
      <c r="B174" s="117"/>
      <c r="C174" s="117"/>
      <c r="D174" s="118" t="str">
        <f t="shared" ref="D174:J174" si="42">D146-D172</f>
        <v>  4,045,053 </v>
      </c>
      <c r="E174" s="118" t="str">
        <f t="shared" si="42"/>
        <v>  4,994,861 </v>
      </c>
      <c r="F174" s="118" t="str">
        <f t="shared" si="42"/>
        <v>  6,013,201 </v>
      </c>
      <c r="G174" s="118" t="str">
        <f t="shared" si="42"/>
        <v>  7,120,886 </v>
      </c>
      <c r="H174" s="118" t="str">
        <f t="shared" si="42"/>
        <v>  8,324,308 </v>
      </c>
      <c r="I174" s="118" t="str">
        <f t="shared" si="42"/>
        <v>  9,630,269 </v>
      </c>
      <c r="J174" s="118" t="str">
        <f t="shared" si="42"/>
        <v>  11,046,016 </v>
      </c>
    </row>
    <row r="175" ht="14.25" customHeight="1">
      <c r="A175" s="294"/>
      <c r="B175" s="294"/>
      <c r="C175" s="294"/>
      <c r="D175" s="111"/>
      <c r="E175" s="111"/>
      <c r="F175" s="111"/>
      <c r="G175" s="111"/>
      <c r="H175" s="111"/>
      <c r="I175" s="111"/>
      <c r="J175" s="111"/>
    </row>
    <row r="176" ht="14.25" customHeight="1">
      <c r="A176" s="111"/>
      <c r="B176" s="111"/>
      <c r="C176" s="111"/>
      <c r="D176" s="111"/>
      <c r="E176" s="111"/>
      <c r="F176" s="111"/>
      <c r="G176" s="111"/>
      <c r="H176" s="111"/>
      <c r="I176" s="111"/>
      <c r="J176" s="111"/>
    </row>
    <row r="177" ht="14.25" customHeight="1">
      <c r="A177" s="111"/>
      <c r="B177" s="111"/>
      <c r="C177" s="111"/>
      <c r="D177" s="111"/>
      <c r="E177" s="111"/>
      <c r="F177" s="111"/>
      <c r="G177" s="111"/>
      <c r="H177" s="111"/>
      <c r="I177" s="111"/>
      <c r="J177" s="111"/>
    </row>
    <row r="178" ht="14.25" customHeight="1">
      <c r="A178" s="24" t="s">
        <v>685</v>
      </c>
    </row>
    <row r="179" ht="14.25" customHeight="1"/>
    <row r="180" ht="14.25" customHeight="1">
      <c r="A180" t="s">
        <v>369</v>
      </c>
    </row>
    <row r="181" ht="14.25" customHeight="1">
      <c r="A181">
        <v>1.0</v>
      </c>
      <c r="B181" t="s">
        <v>658</v>
      </c>
    </row>
    <row r="182" ht="14.25" customHeight="1">
      <c r="A182">
        <v>2.0</v>
      </c>
      <c r="B182" t="s">
        <v>659</v>
      </c>
    </row>
    <row r="183" ht="14.25" customHeight="1">
      <c r="A183">
        <v>3.0</v>
      </c>
      <c r="B183" s="111" t="s">
        <v>660</v>
      </c>
    </row>
    <row r="184" ht="14.25" customHeight="1"/>
    <row r="185" ht="14.25" customHeight="1"/>
    <row r="186" ht="14.25" customHeight="1">
      <c r="A186" t="s">
        <v>686</v>
      </c>
      <c r="B186" t="s">
        <v>687</v>
      </c>
    </row>
    <row r="187" ht="14.25" customHeight="1">
      <c r="B187" t="s">
        <v>688</v>
      </c>
    </row>
  </sheetData>
  <mergeCells count="4">
    <mergeCell ref="A131:J131"/>
    <mergeCell ref="A3:H3"/>
    <mergeCell ref="A178:J178"/>
    <mergeCell ref="A4:H4"/>
  </mergeCells>
  <printOptions/>
  <pageMargins bottom="0.75" footer="0.0" header="0.0" left="0.7" right="0.7" top="0.75"/>
  <pageSetup paperSize="9" orientation="portrait"/>
  <colBreaks count="1" manualBreakCount="1">
    <brk id="10" man="1"/>
  </colBreaks>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0.43"/>
    <col customWidth="1" min="2" max="3" width="10.43"/>
    <col customWidth="1" min="4" max="4" width="12.29"/>
    <col customWidth="1" min="5" max="8" width="10.43"/>
    <col customWidth="1" min="9" max="10" width="10.57"/>
    <col customWidth="1" min="11" max="12" width="8.71"/>
  </cols>
  <sheetData>
    <row r="1" ht="14.25" customHeight="1"/>
    <row r="2" ht="14.25" customHeight="1">
      <c r="A2" s="25" t="s">
        <v>689</v>
      </c>
    </row>
    <row r="3" ht="14.25" customHeight="1">
      <c r="A3" s="25" t="s">
        <v>690</v>
      </c>
    </row>
    <row r="4" ht="14.25" customHeight="1">
      <c r="A4" s="111" t="s">
        <v>133</v>
      </c>
      <c r="B4" s="377">
        <v>1980.0</v>
      </c>
      <c r="C4" s="378" t="s">
        <v>644</v>
      </c>
      <c r="D4" s="378"/>
      <c r="E4" s="378"/>
      <c r="F4" s="378"/>
      <c r="G4" s="111"/>
      <c r="H4" s="111"/>
    </row>
    <row r="5" ht="14.25" customHeight="1">
      <c r="A5" s="111"/>
      <c r="B5" s="370"/>
      <c r="C5" s="111"/>
      <c r="D5" s="111"/>
      <c r="E5" s="111"/>
      <c r="F5" s="111"/>
      <c r="G5" s="111"/>
      <c r="H5" s="111"/>
    </row>
    <row r="6" ht="14.25" customHeight="1">
      <c r="A6" s="111" t="s">
        <v>691</v>
      </c>
      <c r="B6" s="371">
        <v>12.0</v>
      </c>
      <c r="C6" s="111"/>
      <c r="D6" s="371"/>
      <c r="E6" s="371"/>
      <c r="F6" s="111"/>
      <c r="G6" s="111"/>
      <c r="H6" s="111"/>
    </row>
    <row r="7" ht="14.25" customHeight="1">
      <c r="A7" s="111"/>
      <c r="B7" s="111"/>
      <c r="C7" s="371"/>
      <c r="D7" s="371"/>
      <c r="E7" s="371"/>
      <c r="F7" s="111"/>
      <c r="G7" s="111"/>
      <c r="H7" s="111"/>
    </row>
    <row r="8" ht="14.25" customHeight="1">
      <c r="A8" s="114" t="s">
        <v>83</v>
      </c>
      <c r="B8" s="115" t="s">
        <v>193</v>
      </c>
      <c r="C8" s="115" t="s">
        <v>194</v>
      </c>
      <c r="D8" s="115" t="s">
        <v>195</v>
      </c>
      <c r="E8" s="115" t="s">
        <v>196</v>
      </c>
      <c r="F8" s="115" t="s">
        <v>197</v>
      </c>
      <c r="G8" s="115" t="s">
        <v>198</v>
      </c>
      <c r="H8" s="115" t="s">
        <v>199</v>
      </c>
    </row>
    <row r="9" ht="14.25" customHeight="1">
      <c r="A9" s="73" t="s">
        <v>692</v>
      </c>
      <c r="B9" s="212">
        <v>0.8</v>
      </c>
      <c r="C9" s="212" t="str">
        <f t="shared" ref="C9:F9" si="1">B9+5%</f>
        <v>85%</v>
      </c>
      <c r="D9" s="212" t="str">
        <f t="shared" si="1"/>
        <v>90%</v>
      </c>
      <c r="E9" s="212" t="str">
        <f t="shared" si="1"/>
        <v>95%</v>
      </c>
      <c r="F9" s="212" t="str">
        <f t="shared" si="1"/>
        <v>100%</v>
      </c>
      <c r="G9" s="212" t="str">
        <f t="shared" ref="G9:H9" si="2">F9</f>
        <v>100%</v>
      </c>
      <c r="H9" s="212" t="str">
        <f t="shared" si="2"/>
        <v>100%</v>
      </c>
    </row>
    <row r="10" ht="14.25" customHeight="1">
      <c r="A10" s="117" t="s">
        <v>693</v>
      </c>
      <c r="B10" s="379" t="str">
        <f t="shared" ref="B10:H10" si="3">$B$4*B9*$B$6</f>
        <v>  19,008.0 </v>
      </c>
      <c r="C10" s="379" t="str">
        <f t="shared" si="3"/>
        <v>  20,196.0 </v>
      </c>
      <c r="D10" s="379" t="str">
        <f t="shared" si="3"/>
        <v>  21,384.0 </v>
      </c>
      <c r="E10" s="379" t="str">
        <f t="shared" si="3"/>
        <v>  22,572.0 </v>
      </c>
      <c r="F10" s="379" t="str">
        <f t="shared" si="3"/>
        <v>  23,760.0 </v>
      </c>
      <c r="G10" s="379" t="str">
        <f t="shared" si="3"/>
        <v>  23,760.0 </v>
      </c>
      <c r="H10" s="379" t="str">
        <f t="shared" si="3"/>
        <v>  23,760.0 </v>
      </c>
    </row>
    <row r="11" ht="14.25" customHeight="1"/>
    <row r="12" ht="14.25" customHeight="1"/>
    <row r="13" ht="14.25" customHeight="1"/>
    <row r="14" ht="14.25" customHeight="1"/>
    <row r="15" ht="14.25" customHeight="1">
      <c r="A15" s="25" t="s">
        <v>694</v>
      </c>
    </row>
    <row r="16" ht="14.25" customHeight="1">
      <c r="A16" s="24"/>
      <c r="B16" s="24"/>
      <c r="C16" s="24"/>
      <c r="D16" s="24"/>
      <c r="E16" s="24"/>
      <c r="F16" s="24"/>
      <c r="G16" s="24"/>
      <c r="H16" s="24"/>
    </row>
    <row r="17" ht="14.25" customHeight="1">
      <c r="A17" s="111"/>
      <c r="B17" s="111"/>
      <c r="C17" s="111"/>
      <c r="D17" s="112">
        <v>1.0</v>
      </c>
      <c r="E17" s="113" t="str">
        <f t="shared" ref="E17:J17" si="4">(D17*5%)+D17</f>
        <v>105.00%</v>
      </c>
      <c r="F17" s="113" t="str">
        <f t="shared" si="4"/>
        <v>110.25%</v>
      </c>
      <c r="G17" s="113" t="str">
        <f t="shared" si="4"/>
        <v>115.76%</v>
      </c>
      <c r="H17" s="113" t="str">
        <f t="shared" si="4"/>
        <v>121.55%</v>
      </c>
      <c r="I17" s="113" t="str">
        <f t="shared" si="4"/>
        <v>127.63%</v>
      </c>
      <c r="J17" s="113" t="str">
        <f t="shared" si="4"/>
        <v>134.01%</v>
      </c>
    </row>
    <row r="18" ht="14.25" customHeight="1">
      <c r="A18" s="114" t="s">
        <v>190</v>
      </c>
      <c r="B18" s="114" t="s">
        <v>121</v>
      </c>
      <c r="C18" s="114" t="s">
        <v>135</v>
      </c>
      <c r="D18" s="115" t="s">
        <v>193</v>
      </c>
      <c r="E18" s="115" t="s">
        <v>194</v>
      </c>
      <c r="F18" s="115" t="s">
        <v>195</v>
      </c>
      <c r="G18" s="115" t="s">
        <v>196</v>
      </c>
      <c r="H18" s="115" t="s">
        <v>197</v>
      </c>
      <c r="I18" s="115" t="s">
        <v>198</v>
      </c>
      <c r="J18" s="115" t="s">
        <v>199</v>
      </c>
    </row>
    <row r="19" ht="14.25" customHeight="1">
      <c r="A19" s="73"/>
      <c r="B19" s="73"/>
      <c r="C19" s="73"/>
      <c r="D19" s="73"/>
      <c r="E19" s="73"/>
      <c r="F19" s="73"/>
      <c r="G19" s="73"/>
      <c r="H19" s="73"/>
      <c r="I19" s="73"/>
      <c r="J19" s="73"/>
    </row>
    <row r="20" ht="14.25" customHeight="1">
      <c r="A20" s="117" t="s">
        <v>404</v>
      </c>
      <c r="B20" s="117"/>
      <c r="C20" s="117"/>
      <c r="D20" s="73"/>
      <c r="E20" s="73"/>
      <c r="F20" s="73"/>
      <c r="G20" s="73"/>
      <c r="H20" s="73"/>
      <c r="I20" s="73"/>
      <c r="J20" s="73"/>
    </row>
    <row r="21" ht="14.25" customHeight="1">
      <c r="A21" s="73" t="s">
        <v>695</v>
      </c>
      <c r="B21" s="73"/>
      <c r="C21" s="380">
        <v>120.0</v>
      </c>
      <c r="D21" s="116" t="str">
        <f t="shared" ref="D21:J21" si="5">B10*$C$21*D17</f>
        <v>  2,280,960 </v>
      </c>
      <c r="E21" s="116" t="str">
        <f t="shared" si="5"/>
        <v>  2,544,696 </v>
      </c>
      <c r="F21" s="116" t="str">
        <f t="shared" si="5"/>
        <v>  2,829,103 </v>
      </c>
      <c r="G21" s="116" t="str">
        <f t="shared" si="5"/>
        <v>  3,135,589 </v>
      </c>
      <c r="H21" s="116" t="str">
        <f t="shared" si="5"/>
        <v>  3,465,651 </v>
      </c>
      <c r="I21" s="116" t="str">
        <f t="shared" si="5"/>
        <v>  3,638,934 </v>
      </c>
      <c r="J21" s="116" t="str">
        <f t="shared" si="5"/>
        <v>  3,820,881 </v>
      </c>
    </row>
    <row r="22" ht="14.25" customHeight="1">
      <c r="A22" s="73"/>
      <c r="B22" s="73"/>
      <c r="C22" s="116"/>
      <c r="D22" s="116"/>
      <c r="E22" s="116"/>
      <c r="F22" s="116"/>
      <c r="G22" s="116"/>
      <c r="H22" s="116"/>
      <c r="I22" s="116"/>
      <c r="J22" s="116"/>
    </row>
    <row r="23" ht="14.25" customHeight="1">
      <c r="A23" s="117" t="s">
        <v>411</v>
      </c>
      <c r="B23" s="117"/>
      <c r="C23" s="118"/>
      <c r="D23" s="116" t="str">
        <f t="shared" ref="D23:J23" si="6">SUM(D21:D22)</f>
        <v>  2,280,960 </v>
      </c>
      <c r="E23" s="116" t="str">
        <f t="shared" si="6"/>
        <v>  2,544,696 </v>
      </c>
      <c r="F23" s="116" t="str">
        <f t="shared" si="6"/>
        <v>  2,829,103 </v>
      </c>
      <c r="G23" s="116" t="str">
        <f t="shared" si="6"/>
        <v>  3,135,589 </v>
      </c>
      <c r="H23" s="116" t="str">
        <f t="shared" si="6"/>
        <v>  3,465,651 </v>
      </c>
      <c r="I23" s="116" t="str">
        <f t="shared" si="6"/>
        <v>  3,638,934 </v>
      </c>
      <c r="J23" s="116" t="str">
        <f t="shared" si="6"/>
        <v>  3,820,881 </v>
      </c>
    </row>
    <row r="24" ht="14.25" customHeight="1">
      <c r="A24" s="73"/>
      <c r="B24" s="73"/>
      <c r="C24" s="116"/>
      <c r="D24" s="116"/>
      <c r="E24" s="116"/>
      <c r="F24" s="116"/>
      <c r="G24" s="116"/>
      <c r="H24" s="116"/>
      <c r="I24" s="116"/>
      <c r="J24" s="116"/>
    </row>
    <row r="25" ht="14.25" customHeight="1">
      <c r="A25" s="117" t="s">
        <v>646</v>
      </c>
      <c r="B25" s="117"/>
      <c r="C25" s="116"/>
      <c r="D25" s="116"/>
      <c r="E25" s="116"/>
      <c r="F25" s="116"/>
      <c r="G25" s="116"/>
      <c r="H25" s="116"/>
      <c r="I25" s="116"/>
      <c r="J25" s="116"/>
    </row>
    <row r="26" ht="14.25" customHeight="1">
      <c r="A26" s="117" t="s">
        <v>412</v>
      </c>
      <c r="B26" s="117"/>
      <c r="C26" s="116"/>
      <c r="D26" s="116"/>
      <c r="E26" s="116"/>
      <c r="F26" s="116"/>
      <c r="G26" s="116"/>
      <c r="H26" s="116"/>
      <c r="I26" s="116"/>
      <c r="J26" s="116"/>
    </row>
    <row r="27" ht="14.25" customHeight="1">
      <c r="A27" s="73" t="s">
        <v>696</v>
      </c>
      <c r="B27" s="75" t="s">
        <v>644</v>
      </c>
      <c r="C27" s="380">
        <v>14.0</v>
      </c>
      <c r="D27" s="116" t="str">
        <f t="shared" ref="D27:J27" si="7">$B$4*$C$27*D17*2</f>
        <v>  55,440 </v>
      </c>
      <c r="E27" s="116" t="str">
        <f t="shared" si="7"/>
        <v>  58,212 </v>
      </c>
      <c r="F27" s="116" t="str">
        <f t="shared" si="7"/>
        <v>  61,123 </v>
      </c>
      <c r="G27" s="116" t="str">
        <f t="shared" si="7"/>
        <v>  64,179 </v>
      </c>
      <c r="H27" s="116" t="str">
        <f t="shared" si="7"/>
        <v>  67,388 </v>
      </c>
      <c r="I27" s="116" t="str">
        <f t="shared" si="7"/>
        <v>  70,757 </v>
      </c>
      <c r="J27" s="116" t="str">
        <f t="shared" si="7"/>
        <v>  74,295 </v>
      </c>
      <c r="L27" s="44" t="str">
        <f>D27/2</f>
        <v>  27,720 </v>
      </c>
    </row>
    <row r="28" ht="14.25" customHeight="1">
      <c r="A28" s="73" t="s">
        <v>697</v>
      </c>
      <c r="B28" s="75" t="s">
        <v>644</v>
      </c>
      <c r="C28" s="380">
        <v>14.0</v>
      </c>
      <c r="D28" s="116" t="str">
        <f t="shared" ref="D28:J28" si="8">$B$4*$C$28*D17*12</f>
        <v>  332,640 </v>
      </c>
      <c r="E28" s="116" t="str">
        <f t="shared" si="8"/>
        <v>  349,272 </v>
      </c>
      <c r="F28" s="116" t="str">
        <f t="shared" si="8"/>
        <v>  366,736 </v>
      </c>
      <c r="G28" s="116" t="str">
        <f t="shared" si="8"/>
        <v>  385,072 </v>
      </c>
      <c r="H28" s="116" t="str">
        <f t="shared" si="8"/>
        <v>  404,326 </v>
      </c>
      <c r="I28" s="116" t="str">
        <f t="shared" si="8"/>
        <v>  424,542 </v>
      </c>
      <c r="J28" s="116" t="str">
        <f t="shared" si="8"/>
        <v>  445,769 </v>
      </c>
      <c r="L28" s="44" t="str">
        <f>D28/12</f>
        <v>  27,720 </v>
      </c>
    </row>
    <row r="29" ht="14.25" customHeight="1">
      <c r="A29" s="73" t="s">
        <v>698</v>
      </c>
      <c r="B29" s="75">
        <v>12.0</v>
      </c>
      <c r="C29" s="380">
        <v>10000.0</v>
      </c>
      <c r="D29" s="116" t="str">
        <f t="shared" ref="D29:J29" si="9">$C$29*12*D17</f>
        <v>  120,000 </v>
      </c>
      <c r="E29" s="116" t="str">
        <f t="shared" si="9"/>
        <v>  126,000 </v>
      </c>
      <c r="F29" s="116" t="str">
        <f t="shared" si="9"/>
        <v>  132,300 </v>
      </c>
      <c r="G29" s="116" t="str">
        <f t="shared" si="9"/>
        <v>  138,915 </v>
      </c>
      <c r="H29" s="116" t="str">
        <f t="shared" si="9"/>
        <v>  145,861 </v>
      </c>
      <c r="I29" s="116" t="str">
        <f t="shared" si="9"/>
        <v>  153,154 </v>
      </c>
      <c r="J29" s="116" t="str">
        <f t="shared" si="9"/>
        <v>  160,811 </v>
      </c>
    </row>
    <row r="30" ht="14.25" customHeight="1">
      <c r="A30" s="73" t="s">
        <v>699</v>
      </c>
      <c r="B30" s="75"/>
      <c r="C30" s="381">
        <v>0.0025</v>
      </c>
      <c r="D30" s="116" t="str">
        <f t="shared" ref="D30:J30" si="10">(B10*4000)*$C$30*D17</f>
        <v>  190,080 </v>
      </c>
      <c r="E30" s="116" t="str">
        <f t="shared" si="10"/>
        <v>  212,058 </v>
      </c>
      <c r="F30" s="116" t="str">
        <f t="shared" si="10"/>
        <v>  235,759 </v>
      </c>
      <c r="G30" s="116" t="str">
        <f t="shared" si="10"/>
        <v>  261,299 </v>
      </c>
      <c r="H30" s="116" t="str">
        <f t="shared" si="10"/>
        <v>  288,804 </v>
      </c>
      <c r="I30" s="116" t="str">
        <f t="shared" si="10"/>
        <v>  303,244 </v>
      </c>
      <c r="J30" s="116" t="str">
        <f t="shared" si="10"/>
        <v>  318,407 </v>
      </c>
    </row>
    <row r="31" ht="14.25" customHeight="1">
      <c r="A31" s="73"/>
      <c r="B31" s="75"/>
      <c r="C31" s="380"/>
      <c r="D31" s="116"/>
      <c r="E31" s="116"/>
      <c r="F31" s="116"/>
      <c r="G31" s="116"/>
      <c r="H31" s="116"/>
      <c r="I31" s="116"/>
      <c r="J31" s="116"/>
    </row>
    <row r="32" ht="14.25" customHeight="1">
      <c r="A32" s="73"/>
      <c r="B32" s="75"/>
      <c r="C32" s="380"/>
      <c r="D32" s="116"/>
      <c r="E32" s="116"/>
      <c r="F32" s="116"/>
      <c r="G32" s="116"/>
      <c r="H32" s="116"/>
      <c r="I32" s="116"/>
      <c r="J32" s="116"/>
    </row>
    <row r="33" ht="14.25" customHeight="1">
      <c r="A33" s="73"/>
      <c r="B33" s="75"/>
      <c r="C33" s="380"/>
      <c r="D33" s="116"/>
      <c r="E33" s="116"/>
      <c r="F33" s="116"/>
      <c r="G33" s="116"/>
      <c r="H33" s="116"/>
      <c r="I33" s="116"/>
      <c r="J33" s="116"/>
    </row>
    <row r="34" ht="14.25" customHeight="1">
      <c r="A34" s="117" t="s">
        <v>413</v>
      </c>
      <c r="B34" s="79"/>
      <c r="C34" s="374"/>
      <c r="D34" s="118" t="str">
        <f t="shared" ref="D34:J34" si="11">SUM(D27:D33)</f>
        <v>  698,160 </v>
      </c>
      <c r="E34" s="118" t="str">
        <f t="shared" si="11"/>
        <v>  745,542 </v>
      </c>
      <c r="F34" s="118" t="str">
        <f t="shared" si="11"/>
        <v>  795,917 </v>
      </c>
      <c r="G34" s="118" t="str">
        <f t="shared" si="11"/>
        <v>  849,465 </v>
      </c>
      <c r="H34" s="118" t="str">
        <f t="shared" si="11"/>
        <v>  906,379 </v>
      </c>
      <c r="I34" s="118" t="str">
        <f t="shared" si="11"/>
        <v>  951,698 </v>
      </c>
      <c r="J34" s="118" t="str">
        <f t="shared" si="11"/>
        <v>  999,283 </v>
      </c>
    </row>
    <row r="35" ht="14.25" customHeight="1">
      <c r="A35" s="117"/>
      <c r="B35" s="79"/>
      <c r="C35" s="374"/>
      <c r="D35" s="118"/>
      <c r="E35" s="118"/>
      <c r="F35" s="118"/>
      <c r="G35" s="118"/>
      <c r="H35" s="118"/>
      <c r="I35" s="118"/>
      <c r="J35" s="118"/>
    </row>
    <row r="36" ht="14.25" customHeight="1">
      <c r="A36" s="117" t="s">
        <v>414</v>
      </c>
      <c r="B36" s="75"/>
      <c r="C36" s="380"/>
      <c r="D36" s="116"/>
      <c r="E36" s="116"/>
      <c r="F36" s="116"/>
      <c r="G36" s="116"/>
      <c r="H36" s="116"/>
      <c r="I36" s="116"/>
      <c r="J36" s="116"/>
    </row>
    <row r="37" ht="14.25" customHeight="1">
      <c r="A37" s="73" t="s">
        <v>700</v>
      </c>
      <c r="B37" s="75">
        <v>1.0</v>
      </c>
      <c r="C37" s="380">
        <v>10000.0</v>
      </c>
      <c r="D37" s="116" t="str">
        <f t="shared" ref="D37:J37" si="12">$B$37*$C$37*D17*12</f>
        <v>  120,000 </v>
      </c>
      <c r="E37" s="116" t="str">
        <f t="shared" si="12"/>
        <v>  126,000 </v>
      </c>
      <c r="F37" s="116" t="str">
        <f t="shared" si="12"/>
        <v>  132,300 </v>
      </c>
      <c r="G37" s="116" t="str">
        <f t="shared" si="12"/>
        <v>  138,915 </v>
      </c>
      <c r="H37" s="116" t="str">
        <f t="shared" si="12"/>
        <v>  145,861 </v>
      </c>
      <c r="I37" s="116" t="str">
        <f t="shared" si="12"/>
        <v>  153,154 </v>
      </c>
      <c r="J37" s="116" t="str">
        <f t="shared" si="12"/>
        <v>  160,811 </v>
      </c>
    </row>
    <row r="38" ht="14.25" customHeight="1">
      <c r="A38" s="73"/>
      <c r="B38" s="75"/>
      <c r="C38" s="380"/>
      <c r="D38" s="116"/>
      <c r="E38" s="116"/>
      <c r="F38" s="116"/>
      <c r="G38" s="116"/>
      <c r="H38" s="116"/>
      <c r="I38" s="116"/>
      <c r="J38" s="116"/>
    </row>
    <row r="39" ht="14.25" customHeight="1">
      <c r="A39" s="73"/>
      <c r="B39" s="75"/>
      <c r="C39" s="380"/>
      <c r="D39" s="116"/>
      <c r="E39" s="116"/>
      <c r="F39" s="116"/>
      <c r="G39" s="116"/>
      <c r="H39" s="116"/>
      <c r="I39" s="116"/>
      <c r="J39" s="116"/>
    </row>
    <row r="40" ht="14.25" customHeight="1">
      <c r="A40" s="73"/>
      <c r="B40" s="75"/>
      <c r="C40" s="380"/>
      <c r="D40" s="116"/>
      <c r="E40" s="116"/>
      <c r="F40" s="116"/>
      <c r="G40" s="116"/>
      <c r="H40" s="116"/>
      <c r="I40" s="116"/>
      <c r="J40" s="116"/>
    </row>
    <row r="41" ht="14.25" customHeight="1">
      <c r="A41" s="73"/>
      <c r="B41" s="75"/>
      <c r="C41" s="380"/>
      <c r="D41" s="116"/>
      <c r="E41" s="116"/>
      <c r="F41" s="116"/>
      <c r="G41" s="116"/>
      <c r="H41" s="116"/>
      <c r="I41" s="116"/>
      <c r="J41" s="116"/>
    </row>
    <row r="42" ht="14.25" customHeight="1">
      <c r="A42" s="117" t="s">
        <v>416</v>
      </c>
      <c r="B42" s="117"/>
      <c r="C42" s="118"/>
      <c r="D42" s="118" t="str">
        <f t="shared" ref="D42:J42" si="13">SUM(D37:D41)</f>
        <v>  120,000 </v>
      </c>
      <c r="E42" s="118" t="str">
        <f t="shared" si="13"/>
        <v>  126,000 </v>
      </c>
      <c r="F42" s="118" t="str">
        <f t="shared" si="13"/>
        <v>  132,300 </v>
      </c>
      <c r="G42" s="118" t="str">
        <f t="shared" si="13"/>
        <v>  138,915 </v>
      </c>
      <c r="H42" s="118" t="str">
        <f t="shared" si="13"/>
        <v>  145,861 </v>
      </c>
      <c r="I42" s="118" t="str">
        <f t="shared" si="13"/>
        <v>  153,154 </v>
      </c>
      <c r="J42" s="118" t="str">
        <f t="shared" si="13"/>
        <v>  160,811 </v>
      </c>
    </row>
    <row r="43" ht="14.25" customHeight="1">
      <c r="A43" s="117"/>
      <c r="B43" s="117"/>
      <c r="C43" s="118"/>
      <c r="D43" s="118"/>
      <c r="E43" s="118"/>
      <c r="F43" s="118"/>
      <c r="G43" s="118"/>
      <c r="H43" s="118"/>
      <c r="I43" s="118"/>
      <c r="J43" s="118"/>
    </row>
    <row r="44" ht="14.25" customHeight="1">
      <c r="A44" s="117" t="s">
        <v>654</v>
      </c>
      <c r="B44" s="117"/>
      <c r="C44" s="118"/>
      <c r="D44" s="118" t="str">
        <f t="shared" ref="D44:J44" si="14">D34+D42</f>
        <v>  818,160 </v>
      </c>
      <c r="E44" s="118" t="str">
        <f t="shared" si="14"/>
        <v>  871,542 </v>
      </c>
      <c r="F44" s="118" t="str">
        <f t="shared" si="14"/>
        <v>  928,217 </v>
      </c>
      <c r="G44" s="118" t="str">
        <f t="shared" si="14"/>
        <v>  988,380 </v>
      </c>
      <c r="H44" s="118" t="str">
        <f t="shared" si="14"/>
        <v>  1,052,239 </v>
      </c>
      <c r="I44" s="118" t="str">
        <f t="shared" si="14"/>
        <v>  1,104,851 </v>
      </c>
      <c r="J44" s="118" t="str">
        <f t="shared" si="14"/>
        <v>  1,160,094 </v>
      </c>
    </row>
    <row r="45" ht="14.25" customHeight="1">
      <c r="A45" s="73"/>
      <c r="B45" s="73"/>
      <c r="C45" s="116"/>
      <c r="D45" s="116"/>
      <c r="E45" s="116"/>
      <c r="F45" s="116"/>
      <c r="G45" s="116"/>
      <c r="H45" s="116"/>
      <c r="I45" s="116"/>
      <c r="J45" s="116"/>
    </row>
    <row r="46" ht="14.25" customHeight="1">
      <c r="A46" s="117" t="s">
        <v>701</v>
      </c>
      <c r="B46" s="117"/>
      <c r="C46" s="118"/>
      <c r="D46" s="118" t="str">
        <f t="shared" ref="D46:J46" si="15">D23-D44</f>
        <v>  1,462,800 </v>
      </c>
      <c r="E46" s="118" t="str">
        <f t="shared" si="15"/>
        <v>  1,673,154 </v>
      </c>
      <c r="F46" s="118" t="str">
        <f t="shared" si="15"/>
        <v>  1,900,886 </v>
      </c>
      <c r="G46" s="118" t="str">
        <f t="shared" si="15"/>
        <v>  2,147,209 </v>
      </c>
      <c r="H46" s="118" t="str">
        <f t="shared" si="15"/>
        <v>  2,413,412 </v>
      </c>
      <c r="I46" s="118" t="str">
        <f t="shared" si="15"/>
        <v>  2,534,083 </v>
      </c>
      <c r="J46" s="118" t="str">
        <f t="shared" si="15"/>
        <v>  2,660,787 </v>
      </c>
    </row>
    <row r="47" ht="14.25" customHeight="1">
      <c r="A47" s="111"/>
      <c r="B47" s="111"/>
      <c r="C47" s="111"/>
      <c r="D47" s="111"/>
      <c r="E47" s="111"/>
      <c r="F47" s="111"/>
      <c r="G47" s="111"/>
      <c r="H47" s="111"/>
      <c r="I47" s="111"/>
      <c r="J47" s="111"/>
    </row>
    <row r="48" ht="14.25" customHeight="1">
      <c r="A48" s="111"/>
    </row>
    <row r="49" ht="14.25" customHeight="1"/>
    <row r="50" ht="14.25" customHeight="1">
      <c r="A50" s="24" t="s">
        <v>685</v>
      </c>
    </row>
    <row r="51" ht="14.25" customHeight="1"/>
    <row r="52" ht="14.25" customHeight="1">
      <c r="A52" t="s">
        <v>369</v>
      </c>
    </row>
    <row r="53" ht="14.25" customHeight="1">
      <c r="A53">
        <v>1.0</v>
      </c>
      <c r="B53" t="s">
        <v>658</v>
      </c>
    </row>
    <row r="54" ht="14.25" customHeight="1">
      <c r="A54">
        <v>2.0</v>
      </c>
      <c r="B54" t="s">
        <v>659</v>
      </c>
    </row>
    <row r="55" ht="14.25" customHeight="1">
      <c r="A55">
        <v>3.0</v>
      </c>
      <c r="B55" s="111" t="s">
        <v>660</v>
      </c>
    </row>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sheetData>
  <mergeCells count="4">
    <mergeCell ref="A15:J15"/>
    <mergeCell ref="A2:H2"/>
    <mergeCell ref="A50:J50"/>
    <mergeCell ref="A3:H3"/>
  </mergeCells>
  <printOptions/>
  <pageMargins bottom="0.75" footer="0.0" header="0.0" left="0.7" right="0.7" top="0.75"/>
  <pageSetup paperSize="9" orientation="portrait"/>
  <colBreaks count="1" manualBreakCount="1">
    <brk id="10" man="1"/>
  </colBreaks>
  <drawing r:id="rId1"/>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29.43"/>
    <col customWidth="1" min="3" max="3" width="12.14"/>
    <col customWidth="1" min="4" max="4" width="10.43"/>
    <col customWidth="1" min="5" max="5" width="13.43"/>
    <col customWidth="1" min="6" max="6" width="14.0"/>
    <col customWidth="1" min="7" max="7" width="13.43"/>
    <col customWidth="1" min="8" max="9" width="14.0"/>
    <col customWidth="1" min="10" max="11" width="14.43"/>
    <col customWidth="1" min="12" max="12" width="12.14"/>
    <col customWidth="1" min="13" max="13" width="16.0"/>
    <col customWidth="1" min="14" max="14" width="23.29"/>
    <col customWidth="1" min="15" max="16" width="8.71"/>
  </cols>
  <sheetData>
    <row r="1" ht="14.25" customHeight="1"/>
    <row r="2" ht="14.25" customHeight="1"/>
    <row r="3" ht="14.25" customHeight="1">
      <c r="A3" s="25" t="s">
        <v>702</v>
      </c>
    </row>
    <row r="4" ht="14.25" customHeight="1">
      <c r="A4" s="25" t="s">
        <v>703</v>
      </c>
    </row>
    <row r="5" ht="14.25" customHeight="1">
      <c r="A5" s="111"/>
      <c r="B5" s="111"/>
      <c r="C5" s="111"/>
    </row>
    <row r="6" ht="14.25" customHeight="1">
      <c r="A6" s="111"/>
      <c r="B6" s="111"/>
      <c r="C6" s="111"/>
    </row>
    <row r="7" ht="14.25" customHeight="1">
      <c r="A7" s="164" t="s">
        <v>82</v>
      </c>
      <c r="B7" s="336" t="s">
        <v>704</v>
      </c>
      <c r="C7" s="336" t="s">
        <v>705</v>
      </c>
      <c r="D7" s="336" t="s">
        <v>706</v>
      </c>
      <c r="E7" s="336" t="s">
        <v>707</v>
      </c>
      <c r="F7" s="336" t="s">
        <v>708</v>
      </c>
      <c r="G7" s="336" t="s">
        <v>709</v>
      </c>
      <c r="H7" s="336" t="s">
        <v>710</v>
      </c>
      <c r="I7" s="336" t="s">
        <v>711</v>
      </c>
      <c r="J7" s="382" t="s">
        <v>712</v>
      </c>
      <c r="K7" s="336" t="s">
        <v>713</v>
      </c>
      <c r="L7" s="382" t="s">
        <v>714</v>
      </c>
      <c r="M7" s="336" t="s">
        <v>715</v>
      </c>
    </row>
    <row r="8" ht="14.25" customHeight="1">
      <c r="A8" s="165">
        <v>1.0</v>
      </c>
      <c r="B8" s="330" t="str">
        <f>'2.Capex Details'!C20</f>
        <v>Cultivator</v>
      </c>
      <c r="C8" s="330">
        <v>1.0</v>
      </c>
      <c r="D8" s="330">
        <v>90.0</v>
      </c>
      <c r="E8" s="330">
        <v>8.0</v>
      </c>
      <c r="F8" s="85" t="str">
        <f t="shared" ref="F8:F17" si="1">D8*E8*C8</f>
        <v>720</v>
      </c>
      <c r="G8" s="330">
        <v>4.0</v>
      </c>
      <c r="H8" s="85" t="str">
        <f t="shared" ref="H8:H17" si="2">F8/G8</f>
        <v>180</v>
      </c>
      <c r="I8" s="330">
        <v>8.0</v>
      </c>
      <c r="J8" s="85" t="str">
        <f t="shared" ref="J8:J17" si="3">H8*I8</f>
        <v>1440</v>
      </c>
      <c r="K8" s="330">
        <v>1800.0</v>
      </c>
      <c r="L8" s="330">
        <v>1.0</v>
      </c>
      <c r="M8" s="85" t="str">
        <f t="shared" ref="M8:M17" si="4">D8*L8</f>
        <v>90</v>
      </c>
    </row>
    <row r="9" ht="14.25" customHeight="1">
      <c r="A9" s="165">
        <v>2.0</v>
      </c>
      <c r="B9" s="330" t="str">
        <f>'2.Capex Details'!C21</f>
        <v>Plough </v>
      </c>
      <c r="C9" s="330">
        <v>1.0</v>
      </c>
      <c r="D9" s="330">
        <v>60.0</v>
      </c>
      <c r="E9" s="330">
        <v>8.0</v>
      </c>
      <c r="F9" s="85" t="str">
        <f t="shared" si="1"/>
        <v>480</v>
      </c>
      <c r="G9" s="330">
        <v>2.0</v>
      </c>
      <c r="H9" s="85" t="str">
        <f t="shared" si="2"/>
        <v>240</v>
      </c>
      <c r="I9" s="330">
        <v>8.0</v>
      </c>
      <c r="J9" s="85" t="str">
        <f t="shared" si="3"/>
        <v>1920</v>
      </c>
      <c r="K9" s="330">
        <v>1800.0</v>
      </c>
      <c r="L9" s="330">
        <v>1.0</v>
      </c>
      <c r="M9" s="85" t="str">
        <f t="shared" si="4"/>
        <v>60</v>
      </c>
    </row>
    <row r="10" ht="14.25" customHeight="1">
      <c r="A10" s="165">
        <v>3.0</v>
      </c>
      <c r="B10" s="330" t="str">
        <f>'2.Capex Details'!C22</f>
        <v>tractor mounted operated sprayer (45 BHP)</v>
      </c>
      <c r="C10" s="330">
        <v>1.0</v>
      </c>
      <c r="D10" s="330">
        <v>30.0</v>
      </c>
      <c r="E10" s="330">
        <v>8.0</v>
      </c>
      <c r="F10" s="85" t="str">
        <f t="shared" si="1"/>
        <v>240</v>
      </c>
      <c r="G10" s="330">
        <v>2.0</v>
      </c>
      <c r="H10" s="85" t="str">
        <f t="shared" si="2"/>
        <v>120</v>
      </c>
      <c r="I10" s="330">
        <v>7.0</v>
      </c>
      <c r="J10" s="85" t="str">
        <f t="shared" si="3"/>
        <v>840</v>
      </c>
      <c r="K10" s="330">
        <v>1200.0</v>
      </c>
      <c r="L10" s="330">
        <v>1.0</v>
      </c>
      <c r="M10" s="85" t="str">
        <f t="shared" si="4"/>
        <v>30</v>
      </c>
    </row>
    <row r="11" ht="14.25" customHeight="1">
      <c r="A11" s="165">
        <v>5.0</v>
      </c>
      <c r="B11" s="330" t="str">
        <f>'2.Capex Details'!C23</f>
        <v>Multicrop Planter</v>
      </c>
      <c r="C11" s="330">
        <v>1.0</v>
      </c>
      <c r="D11" s="330">
        <v>60.0</v>
      </c>
      <c r="E11" s="330">
        <v>8.0</v>
      </c>
      <c r="F11" s="85" t="str">
        <f t="shared" si="1"/>
        <v>480</v>
      </c>
      <c r="G11" s="330">
        <v>2.0</v>
      </c>
      <c r="H11" s="85" t="str">
        <f t="shared" si="2"/>
        <v>240</v>
      </c>
      <c r="I11" s="330">
        <v>8.0</v>
      </c>
      <c r="J11" s="85" t="str">
        <f t="shared" si="3"/>
        <v>1920</v>
      </c>
      <c r="K11" s="330">
        <v>1500.0</v>
      </c>
      <c r="L11" s="330">
        <v>1.0</v>
      </c>
      <c r="M11" s="85" t="str">
        <f t="shared" si="4"/>
        <v>60</v>
      </c>
    </row>
    <row r="12" ht="14.25" customHeight="1">
      <c r="A12" s="165">
        <v>6.0</v>
      </c>
      <c r="B12" s="330" t="str">
        <f>'2.Capex Details'!C24</f>
        <v>V Pass</v>
      </c>
      <c r="C12" s="330">
        <v>1.0</v>
      </c>
      <c r="D12" s="330">
        <v>30.0</v>
      </c>
      <c r="E12" s="330">
        <v>8.0</v>
      </c>
      <c r="F12" s="85" t="str">
        <f t="shared" si="1"/>
        <v>240</v>
      </c>
      <c r="G12" s="330">
        <v>2.0</v>
      </c>
      <c r="H12" s="85" t="str">
        <f t="shared" si="2"/>
        <v>120</v>
      </c>
      <c r="I12" s="330">
        <v>5.0</v>
      </c>
      <c r="J12" s="85" t="str">
        <f t="shared" si="3"/>
        <v>600</v>
      </c>
      <c r="K12" s="330">
        <v>800.0</v>
      </c>
      <c r="L12" s="330">
        <v>1.0</v>
      </c>
      <c r="M12" s="85" t="str">
        <f t="shared" si="4"/>
        <v>30</v>
      </c>
    </row>
    <row r="13" ht="14.25" customHeight="1">
      <c r="A13" s="165">
        <v>7.0</v>
      </c>
      <c r="B13" s="330" t="str">
        <f>'2.Capex Details'!C25</f>
        <v>Wakhar</v>
      </c>
      <c r="C13" s="330">
        <v>1.0</v>
      </c>
      <c r="D13" s="330">
        <v>30.0</v>
      </c>
      <c r="E13" s="330">
        <v>8.0</v>
      </c>
      <c r="F13" s="85" t="str">
        <f t="shared" si="1"/>
        <v>240</v>
      </c>
      <c r="G13" s="330">
        <v>3.0</v>
      </c>
      <c r="H13" s="85" t="str">
        <f t="shared" si="2"/>
        <v>80</v>
      </c>
      <c r="I13" s="330">
        <v>5.0</v>
      </c>
      <c r="J13" s="85" t="str">
        <f t="shared" si="3"/>
        <v>400</v>
      </c>
      <c r="K13" s="330">
        <v>1000.0</v>
      </c>
      <c r="L13" s="330">
        <v>1.0</v>
      </c>
      <c r="M13" s="85" t="str">
        <f t="shared" si="4"/>
        <v>30</v>
      </c>
    </row>
    <row r="14" ht="14.25" customHeight="1">
      <c r="A14" s="165">
        <v>8.0</v>
      </c>
      <c r="B14" s="330" t="str">
        <f>'2.Capex Details'!C26</f>
        <v>Rejd Bed Planter</v>
      </c>
      <c r="C14" s="330">
        <v>1.0</v>
      </c>
      <c r="D14" s="330">
        <v>30.0</v>
      </c>
      <c r="E14" s="330">
        <v>8.0</v>
      </c>
      <c r="F14" s="85" t="str">
        <f t="shared" si="1"/>
        <v>240</v>
      </c>
      <c r="G14" s="330">
        <v>3.0</v>
      </c>
      <c r="H14" s="85" t="str">
        <f t="shared" si="2"/>
        <v>80</v>
      </c>
      <c r="I14" s="330">
        <v>5.0</v>
      </c>
      <c r="J14" s="85" t="str">
        <f t="shared" si="3"/>
        <v>400</v>
      </c>
      <c r="K14" s="330">
        <v>1000.0</v>
      </c>
      <c r="L14" s="330">
        <v>1.0</v>
      </c>
      <c r="M14" s="85" t="str">
        <f t="shared" si="4"/>
        <v>30</v>
      </c>
    </row>
    <row r="15" ht="14.25" customHeight="1">
      <c r="A15" s="165">
        <v>9.0</v>
      </c>
      <c r="B15" s="330" t="str">
        <f>'2.Capex Details'!C27</f>
        <v>Rotavator (7 Feet)</v>
      </c>
      <c r="C15" s="330">
        <v>1.0</v>
      </c>
      <c r="D15" s="330">
        <v>60.0</v>
      </c>
      <c r="E15" s="330">
        <v>8.0</v>
      </c>
      <c r="F15" s="85" t="str">
        <f t="shared" si="1"/>
        <v>480</v>
      </c>
      <c r="G15" s="330">
        <v>3.0</v>
      </c>
      <c r="H15" s="85" t="str">
        <f t="shared" si="2"/>
        <v>160</v>
      </c>
      <c r="I15" s="330">
        <v>8.0</v>
      </c>
      <c r="J15" s="85" t="str">
        <f t="shared" si="3"/>
        <v>1280</v>
      </c>
      <c r="K15" s="330">
        <v>1500.0</v>
      </c>
      <c r="L15" s="330">
        <v>1.0</v>
      </c>
      <c r="M15" s="85" t="str">
        <f t="shared" si="4"/>
        <v>60</v>
      </c>
    </row>
    <row r="16" ht="14.25" customHeight="1">
      <c r="A16" s="165">
        <v>10.0</v>
      </c>
      <c r="B16" s="330" t="str">
        <f>'2.Capex Details'!C28</f>
        <v>Handam ( Thresher)</v>
      </c>
      <c r="C16" s="330">
        <v>1.0</v>
      </c>
      <c r="D16" s="330">
        <v>60.0</v>
      </c>
      <c r="E16" s="330">
        <v>8.0</v>
      </c>
      <c r="F16" s="85" t="str">
        <f t="shared" si="1"/>
        <v>480</v>
      </c>
      <c r="G16" s="330">
        <v>4.0</v>
      </c>
      <c r="H16" s="85" t="str">
        <f t="shared" si="2"/>
        <v>120</v>
      </c>
      <c r="I16" s="330">
        <v>8.0</v>
      </c>
      <c r="J16" s="85" t="str">
        <f t="shared" si="3"/>
        <v>960</v>
      </c>
      <c r="K16" s="330">
        <v>2000.0</v>
      </c>
      <c r="L16" s="330">
        <v>1.0</v>
      </c>
      <c r="M16" s="85" t="str">
        <f t="shared" si="4"/>
        <v>60</v>
      </c>
    </row>
    <row r="17" ht="14.25" customHeight="1">
      <c r="A17" s="165">
        <v>11.0</v>
      </c>
      <c r="B17" s="330" t="str">
        <f>'2.Capex Details'!C29</f>
        <v>Subsoiler</v>
      </c>
      <c r="C17" s="330">
        <v>1.0</v>
      </c>
      <c r="D17" s="383">
        <v>30.0</v>
      </c>
      <c r="E17" s="330">
        <v>8.0</v>
      </c>
      <c r="F17" s="85" t="str">
        <f t="shared" si="1"/>
        <v>240</v>
      </c>
      <c r="G17" s="330">
        <v>4.0</v>
      </c>
      <c r="H17" s="85" t="str">
        <f t="shared" si="2"/>
        <v>60</v>
      </c>
      <c r="I17" s="330">
        <v>6.0</v>
      </c>
      <c r="J17" s="85" t="str">
        <f t="shared" si="3"/>
        <v>360</v>
      </c>
      <c r="K17" s="330">
        <v>1000.0</v>
      </c>
      <c r="L17" s="330">
        <v>1.0</v>
      </c>
      <c r="M17" s="85" t="str">
        <f t="shared" si="4"/>
        <v>30</v>
      </c>
    </row>
    <row r="18" ht="14.25" customHeight="1">
      <c r="A18" s="71"/>
      <c r="B18" s="71"/>
    </row>
    <row r="19" ht="14.25" customHeight="1"/>
    <row r="20" ht="14.25" customHeight="1">
      <c r="A20" s="25" t="s">
        <v>716</v>
      </c>
    </row>
    <row r="21" ht="14.25" customHeight="1"/>
    <row r="22" ht="14.25" customHeight="1">
      <c r="A22" s="111"/>
      <c r="B22" s="111"/>
      <c r="C22" s="111"/>
      <c r="D22" s="111"/>
      <c r="E22" s="112">
        <v>1.0</v>
      </c>
      <c r="F22" s="113" t="str">
        <f t="shared" ref="F22:K22" si="5">(E22*5%)+E22</f>
        <v>105.00%</v>
      </c>
      <c r="G22" s="113" t="str">
        <f t="shared" si="5"/>
        <v>110.25%</v>
      </c>
      <c r="H22" s="113" t="str">
        <f t="shared" si="5"/>
        <v>115.76%</v>
      </c>
      <c r="I22" s="113" t="str">
        <f t="shared" si="5"/>
        <v>121.55%</v>
      </c>
      <c r="J22" s="113" t="str">
        <f t="shared" si="5"/>
        <v>127.63%</v>
      </c>
      <c r="K22" s="113" t="str">
        <f t="shared" si="5"/>
        <v>134.01%</v>
      </c>
    </row>
    <row r="23" ht="14.25" customHeight="1">
      <c r="A23" s="114" t="s">
        <v>190</v>
      </c>
      <c r="B23" s="114" t="s">
        <v>121</v>
      </c>
      <c r="C23" s="114" t="s">
        <v>122</v>
      </c>
      <c r="D23" s="114" t="s">
        <v>135</v>
      </c>
      <c r="E23" s="115" t="s">
        <v>193</v>
      </c>
      <c r="F23" s="115" t="s">
        <v>194</v>
      </c>
      <c r="G23" s="115" t="s">
        <v>195</v>
      </c>
      <c r="H23" s="115" t="s">
        <v>196</v>
      </c>
      <c r="I23" s="115" t="s">
        <v>197</v>
      </c>
      <c r="J23" s="115" t="s">
        <v>198</v>
      </c>
      <c r="K23" s="115" t="s">
        <v>199</v>
      </c>
    </row>
    <row r="24" ht="14.25" customHeight="1">
      <c r="A24" s="117"/>
      <c r="B24" s="117"/>
      <c r="C24" s="117"/>
      <c r="D24" s="117"/>
      <c r="E24" s="73"/>
      <c r="F24" s="73"/>
      <c r="G24" s="73"/>
      <c r="H24" s="73"/>
      <c r="I24" s="73"/>
      <c r="J24" s="73"/>
      <c r="K24" s="73"/>
    </row>
    <row r="25" ht="14.25" customHeight="1">
      <c r="A25" s="117" t="s">
        <v>404</v>
      </c>
      <c r="B25" s="117"/>
      <c r="C25" s="117"/>
      <c r="D25" s="117"/>
      <c r="E25" s="73"/>
      <c r="F25" s="73"/>
      <c r="G25" s="73"/>
      <c r="H25" s="73"/>
      <c r="I25" s="73"/>
      <c r="J25" s="73"/>
      <c r="K25" s="73"/>
      <c r="P25" s="111"/>
    </row>
    <row r="26" ht="14.25" customHeight="1">
      <c r="A26" s="376" t="s">
        <v>717</v>
      </c>
      <c r="B26" s="298"/>
      <c r="C26" s="298"/>
      <c r="D26" s="298"/>
      <c r="E26" s="116"/>
      <c r="F26" s="116"/>
      <c r="G26" s="116"/>
      <c r="H26" s="116"/>
      <c r="I26" s="116"/>
      <c r="J26" s="116"/>
      <c r="K26" s="116"/>
      <c r="P26" s="111"/>
    </row>
    <row r="27" ht="14.25" customHeight="1">
      <c r="A27" s="298" t="str">
        <f t="shared" ref="A27:A36" si="7">B8</f>
        <v>Cultivator</v>
      </c>
      <c r="B27" s="298" t="s">
        <v>718</v>
      </c>
      <c r="C27" s="298" t="str">
        <f t="shared" ref="C27:C36" si="8">H8</f>
        <v>180</v>
      </c>
      <c r="D27" s="298" t="str">
        <f t="shared" ref="D27:D36" si="9">K8</f>
        <v>1800</v>
      </c>
      <c r="E27" s="116" t="str">
        <f t="shared" ref="E27:K27" si="6">$C$27*$D$27*E22</f>
        <v>  324,000 </v>
      </c>
      <c r="F27" s="116" t="str">
        <f t="shared" si="6"/>
        <v>  340,200 </v>
      </c>
      <c r="G27" s="116" t="str">
        <f t="shared" si="6"/>
        <v>  357,210 </v>
      </c>
      <c r="H27" s="116" t="str">
        <f t="shared" si="6"/>
        <v>  375,071 </v>
      </c>
      <c r="I27" s="116" t="str">
        <f t="shared" si="6"/>
        <v>  393,824 </v>
      </c>
      <c r="J27" s="116" t="str">
        <f t="shared" si="6"/>
        <v>  413,515 </v>
      </c>
      <c r="K27" s="116" t="str">
        <f t="shared" si="6"/>
        <v>  434,191 </v>
      </c>
      <c r="P27" s="111"/>
    </row>
    <row r="28" ht="14.25" customHeight="1">
      <c r="A28" s="298" t="str">
        <f t="shared" si="7"/>
        <v>Plough </v>
      </c>
      <c r="B28" s="298" t="s">
        <v>718</v>
      </c>
      <c r="C28" s="298" t="str">
        <f t="shared" si="8"/>
        <v>240</v>
      </c>
      <c r="D28" s="298" t="str">
        <f t="shared" si="9"/>
        <v>1800</v>
      </c>
      <c r="E28" s="116" t="str">
        <f t="shared" ref="E28:K28" si="10">$C$28*$D$28*E22</f>
        <v>  432,000 </v>
      </c>
      <c r="F28" s="116" t="str">
        <f t="shared" si="10"/>
        <v>  453,600 </v>
      </c>
      <c r="G28" s="116" t="str">
        <f t="shared" si="10"/>
        <v>  476,280 </v>
      </c>
      <c r="H28" s="116" t="str">
        <f t="shared" si="10"/>
        <v>  500,094 </v>
      </c>
      <c r="I28" s="116" t="str">
        <f t="shared" si="10"/>
        <v>  525,099 </v>
      </c>
      <c r="J28" s="116" t="str">
        <f t="shared" si="10"/>
        <v>  551,354 </v>
      </c>
      <c r="K28" s="116" t="str">
        <f t="shared" si="10"/>
        <v>  578,921 </v>
      </c>
      <c r="P28" s="111"/>
    </row>
    <row r="29" ht="14.25" customHeight="1">
      <c r="A29" s="298" t="str">
        <f t="shared" si="7"/>
        <v>tractor mounted operated sprayer (45 BHP)</v>
      </c>
      <c r="B29" s="298" t="s">
        <v>718</v>
      </c>
      <c r="C29" s="298" t="str">
        <f t="shared" si="8"/>
        <v>120</v>
      </c>
      <c r="D29" s="298" t="str">
        <f t="shared" si="9"/>
        <v>1200</v>
      </c>
      <c r="E29" s="116" t="str">
        <f t="shared" ref="E29:K29" si="11">$C$29*$D$29*E22</f>
        <v>  144,000 </v>
      </c>
      <c r="F29" s="116" t="str">
        <f t="shared" si="11"/>
        <v>  151,200 </v>
      </c>
      <c r="G29" s="116" t="str">
        <f t="shared" si="11"/>
        <v>  158,760 </v>
      </c>
      <c r="H29" s="116" t="str">
        <f t="shared" si="11"/>
        <v>  166,698 </v>
      </c>
      <c r="I29" s="116" t="str">
        <f t="shared" si="11"/>
        <v>  175,033 </v>
      </c>
      <c r="J29" s="116" t="str">
        <f t="shared" si="11"/>
        <v>  183,785 </v>
      </c>
      <c r="K29" s="116" t="str">
        <f t="shared" si="11"/>
        <v>  192,974 </v>
      </c>
      <c r="P29" s="111"/>
    </row>
    <row r="30" ht="14.25" customHeight="1">
      <c r="A30" s="298" t="str">
        <f t="shared" si="7"/>
        <v>Multicrop Planter</v>
      </c>
      <c r="B30" s="298" t="s">
        <v>718</v>
      </c>
      <c r="C30" s="298" t="str">
        <f t="shared" si="8"/>
        <v>240</v>
      </c>
      <c r="D30" s="298" t="str">
        <f t="shared" si="9"/>
        <v>1500</v>
      </c>
      <c r="E30" s="116" t="str">
        <f t="shared" ref="E30:K30" si="12">$C$30*$D$30*E22</f>
        <v>  360,000 </v>
      </c>
      <c r="F30" s="116" t="str">
        <f t="shared" si="12"/>
        <v>  378,000 </v>
      </c>
      <c r="G30" s="116" t="str">
        <f t="shared" si="12"/>
        <v>  396,900 </v>
      </c>
      <c r="H30" s="116" t="str">
        <f t="shared" si="12"/>
        <v>  416,745 </v>
      </c>
      <c r="I30" s="116" t="str">
        <f t="shared" si="12"/>
        <v>  437,582 </v>
      </c>
      <c r="J30" s="116" t="str">
        <f t="shared" si="12"/>
        <v>  459,461 </v>
      </c>
      <c r="K30" s="116" t="str">
        <f t="shared" si="12"/>
        <v>  482,434 </v>
      </c>
      <c r="P30" s="111"/>
    </row>
    <row r="31" ht="14.25" customHeight="1">
      <c r="A31" s="298" t="str">
        <f t="shared" si="7"/>
        <v>V Pass</v>
      </c>
      <c r="B31" s="298" t="s">
        <v>718</v>
      </c>
      <c r="C31" s="298" t="str">
        <f t="shared" si="8"/>
        <v>120</v>
      </c>
      <c r="D31" s="298" t="str">
        <f t="shared" si="9"/>
        <v>800</v>
      </c>
      <c r="E31" s="116" t="str">
        <f t="shared" ref="E31:K31" si="13">$C$31*$D$31*E22</f>
        <v>  96,000 </v>
      </c>
      <c r="F31" s="116" t="str">
        <f t="shared" si="13"/>
        <v>  100,800 </v>
      </c>
      <c r="G31" s="116" t="str">
        <f t="shared" si="13"/>
        <v>  105,840 </v>
      </c>
      <c r="H31" s="116" t="str">
        <f t="shared" si="13"/>
        <v>  111,132 </v>
      </c>
      <c r="I31" s="116" t="str">
        <f t="shared" si="13"/>
        <v>  116,689 </v>
      </c>
      <c r="J31" s="116" t="str">
        <f t="shared" si="13"/>
        <v>  122,523 </v>
      </c>
      <c r="K31" s="116" t="str">
        <f t="shared" si="13"/>
        <v>  128,649 </v>
      </c>
      <c r="P31" s="111"/>
    </row>
    <row r="32" ht="14.25" customHeight="1">
      <c r="A32" s="298" t="str">
        <f t="shared" si="7"/>
        <v>Wakhar</v>
      </c>
      <c r="B32" s="298" t="s">
        <v>718</v>
      </c>
      <c r="C32" s="298" t="str">
        <f t="shared" si="8"/>
        <v>80</v>
      </c>
      <c r="D32" s="298" t="str">
        <f t="shared" si="9"/>
        <v>1000</v>
      </c>
      <c r="E32" s="116" t="str">
        <f t="shared" ref="E32:K32" si="14">$C$32*$D$32*E22</f>
        <v>  80,000 </v>
      </c>
      <c r="F32" s="116" t="str">
        <f t="shared" si="14"/>
        <v>  84,000 </v>
      </c>
      <c r="G32" s="116" t="str">
        <f t="shared" si="14"/>
        <v>  88,200 </v>
      </c>
      <c r="H32" s="116" t="str">
        <f t="shared" si="14"/>
        <v>  92,610 </v>
      </c>
      <c r="I32" s="116" t="str">
        <f t="shared" si="14"/>
        <v>  97,241 </v>
      </c>
      <c r="J32" s="116" t="str">
        <f t="shared" si="14"/>
        <v>  102,103 </v>
      </c>
      <c r="K32" s="116" t="str">
        <f t="shared" si="14"/>
        <v>  107,208 </v>
      </c>
      <c r="P32" s="111"/>
    </row>
    <row r="33" ht="14.25" customHeight="1">
      <c r="A33" s="298" t="str">
        <f t="shared" si="7"/>
        <v>Rejd Bed Planter</v>
      </c>
      <c r="B33" s="298" t="s">
        <v>718</v>
      </c>
      <c r="C33" s="298" t="str">
        <f t="shared" si="8"/>
        <v>80</v>
      </c>
      <c r="D33" s="298" t="str">
        <f t="shared" si="9"/>
        <v>1000</v>
      </c>
      <c r="E33" s="116" t="str">
        <f t="shared" ref="E33:K33" si="15">$C$33*$D$33*E22</f>
        <v>  80,000 </v>
      </c>
      <c r="F33" s="116" t="str">
        <f t="shared" si="15"/>
        <v>  84,000 </v>
      </c>
      <c r="G33" s="116" t="str">
        <f t="shared" si="15"/>
        <v>  88,200 </v>
      </c>
      <c r="H33" s="116" t="str">
        <f t="shared" si="15"/>
        <v>  92,610 </v>
      </c>
      <c r="I33" s="116" t="str">
        <f t="shared" si="15"/>
        <v>  97,241 </v>
      </c>
      <c r="J33" s="116" t="str">
        <f t="shared" si="15"/>
        <v>  102,103 </v>
      </c>
      <c r="K33" s="116" t="str">
        <f t="shared" si="15"/>
        <v>  107,208 </v>
      </c>
      <c r="P33" s="111"/>
    </row>
    <row r="34" ht="14.25" customHeight="1">
      <c r="A34" s="298" t="str">
        <f t="shared" si="7"/>
        <v>Rotavator (7 Feet)</v>
      </c>
      <c r="B34" s="298" t="s">
        <v>718</v>
      </c>
      <c r="C34" s="298" t="str">
        <f t="shared" si="8"/>
        <v>160</v>
      </c>
      <c r="D34" s="298" t="str">
        <f t="shared" si="9"/>
        <v>1500</v>
      </c>
      <c r="E34" s="116" t="str">
        <f t="shared" ref="E34:K34" si="16">$C$34*$D$34*E22</f>
        <v>  240,000 </v>
      </c>
      <c r="F34" s="116" t="str">
        <f t="shared" si="16"/>
        <v>  252,000 </v>
      </c>
      <c r="G34" s="116" t="str">
        <f t="shared" si="16"/>
        <v>  264,600 </v>
      </c>
      <c r="H34" s="116" t="str">
        <f t="shared" si="16"/>
        <v>  277,830 </v>
      </c>
      <c r="I34" s="116" t="str">
        <f t="shared" si="16"/>
        <v>  291,722 </v>
      </c>
      <c r="J34" s="116" t="str">
        <f t="shared" si="16"/>
        <v>  306,308 </v>
      </c>
      <c r="K34" s="116" t="str">
        <f t="shared" si="16"/>
        <v>  321,623 </v>
      </c>
      <c r="P34" s="111"/>
    </row>
    <row r="35" ht="14.25" customHeight="1">
      <c r="A35" s="298" t="str">
        <f t="shared" si="7"/>
        <v>Handam ( Thresher)</v>
      </c>
      <c r="B35" s="298" t="s">
        <v>718</v>
      </c>
      <c r="C35" s="298" t="str">
        <f t="shared" si="8"/>
        <v>120</v>
      </c>
      <c r="D35" s="298" t="str">
        <f t="shared" si="9"/>
        <v>2000</v>
      </c>
      <c r="E35" s="116" t="str">
        <f t="shared" ref="E35:K35" si="17">$C$35*$D$35*E22</f>
        <v>  240,000 </v>
      </c>
      <c r="F35" s="116" t="str">
        <f t="shared" si="17"/>
        <v>  252,000 </v>
      </c>
      <c r="G35" s="116" t="str">
        <f t="shared" si="17"/>
        <v>  264,600 </v>
      </c>
      <c r="H35" s="116" t="str">
        <f t="shared" si="17"/>
        <v>  277,830 </v>
      </c>
      <c r="I35" s="116" t="str">
        <f t="shared" si="17"/>
        <v>  291,722 </v>
      </c>
      <c r="J35" s="116" t="str">
        <f t="shared" si="17"/>
        <v>  306,308 </v>
      </c>
      <c r="K35" s="116" t="str">
        <f t="shared" si="17"/>
        <v>  321,623 </v>
      </c>
      <c r="P35" s="111"/>
    </row>
    <row r="36" ht="14.25" customHeight="1">
      <c r="A36" s="298" t="str">
        <f t="shared" si="7"/>
        <v>Subsoiler</v>
      </c>
      <c r="B36" s="117"/>
      <c r="C36" s="298" t="str">
        <f t="shared" si="8"/>
        <v>60</v>
      </c>
      <c r="D36" s="298" t="str">
        <f t="shared" si="9"/>
        <v>1000</v>
      </c>
      <c r="E36" s="116" t="str">
        <f t="shared" ref="E36:K36" si="18">$C$36*$D$36*E22</f>
        <v>  60,000 </v>
      </c>
      <c r="F36" s="116" t="str">
        <f t="shared" si="18"/>
        <v>  63,000 </v>
      </c>
      <c r="G36" s="116" t="str">
        <f t="shared" si="18"/>
        <v>  66,150 </v>
      </c>
      <c r="H36" s="116" t="str">
        <f t="shared" si="18"/>
        <v>  69,458 </v>
      </c>
      <c r="I36" s="116" t="str">
        <f t="shared" si="18"/>
        <v>  72,930 </v>
      </c>
      <c r="J36" s="116" t="str">
        <f t="shared" si="18"/>
        <v>  76,577 </v>
      </c>
      <c r="K36" s="116" t="str">
        <f t="shared" si="18"/>
        <v>  80,406 </v>
      </c>
      <c r="P36" s="111"/>
    </row>
    <row r="37" ht="14.25" customHeight="1">
      <c r="A37" s="117" t="s">
        <v>411</v>
      </c>
      <c r="B37" s="117"/>
      <c r="C37" s="117"/>
      <c r="D37" s="117"/>
      <c r="E37" s="116" t="str">
        <f t="shared" ref="E37:K37" si="19">SUM(E27:E36)</f>
        <v>  2,056,000 </v>
      </c>
      <c r="F37" s="116" t="str">
        <f t="shared" si="19"/>
        <v>  2,158,800 </v>
      </c>
      <c r="G37" s="116" t="str">
        <f t="shared" si="19"/>
        <v>  2,266,740 </v>
      </c>
      <c r="H37" s="116" t="str">
        <f t="shared" si="19"/>
        <v>  2,380,077 </v>
      </c>
      <c r="I37" s="116" t="str">
        <f t="shared" si="19"/>
        <v>  2,499,081 </v>
      </c>
      <c r="J37" s="116" t="str">
        <f t="shared" si="19"/>
        <v>  2,624,035 </v>
      </c>
      <c r="K37" s="116" t="str">
        <f t="shared" si="19"/>
        <v>  2,755,237 </v>
      </c>
      <c r="P37" s="111"/>
    </row>
    <row r="38" ht="14.25" customHeight="1">
      <c r="A38" s="73"/>
      <c r="B38" s="73"/>
      <c r="C38" s="73"/>
      <c r="D38" s="73"/>
      <c r="E38" s="116"/>
      <c r="F38" s="116"/>
      <c r="G38" s="116"/>
      <c r="H38" s="116"/>
      <c r="I38" s="116"/>
      <c r="J38" s="116"/>
      <c r="K38" s="116"/>
      <c r="P38" s="111"/>
    </row>
    <row r="39" ht="14.25" customHeight="1">
      <c r="A39" s="117" t="s">
        <v>646</v>
      </c>
      <c r="B39" s="117"/>
      <c r="C39" s="117"/>
      <c r="D39" s="117"/>
      <c r="E39" s="116"/>
      <c r="F39" s="116"/>
      <c r="G39" s="116"/>
      <c r="H39" s="116"/>
      <c r="I39" s="116"/>
      <c r="J39" s="116"/>
      <c r="K39" s="116"/>
      <c r="P39" s="111"/>
    </row>
    <row r="40" ht="14.25" customHeight="1">
      <c r="A40" s="117" t="s">
        <v>719</v>
      </c>
      <c r="B40" s="117"/>
      <c r="C40" s="117"/>
      <c r="D40" s="117"/>
      <c r="E40" s="116"/>
      <c r="F40" s="116"/>
      <c r="G40" s="116"/>
      <c r="H40" s="116"/>
      <c r="I40" s="116"/>
      <c r="J40" s="116"/>
      <c r="K40" s="116"/>
    </row>
    <row r="41" ht="14.25" customHeight="1">
      <c r="A41" s="73" t="s">
        <v>720</v>
      </c>
      <c r="B41" s="73" t="s">
        <v>721</v>
      </c>
      <c r="C41" s="73" t="str">
        <f>SUM(J8:J16)</f>
        <v>9760</v>
      </c>
      <c r="D41" s="75">
        <v>100.0</v>
      </c>
      <c r="E41" s="116" t="str">
        <f t="shared" ref="E41:K41" si="20">$C$41*$D$41*E22</f>
        <v>  976,000 </v>
      </c>
      <c r="F41" s="116" t="str">
        <f t="shared" si="20"/>
        <v>  1,024,800 </v>
      </c>
      <c r="G41" s="116" t="str">
        <f t="shared" si="20"/>
        <v>  1,076,040 </v>
      </c>
      <c r="H41" s="116" t="str">
        <f t="shared" si="20"/>
        <v>  1,129,842 </v>
      </c>
      <c r="I41" s="116" t="str">
        <f t="shared" si="20"/>
        <v>  1,186,334 </v>
      </c>
      <c r="J41" s="116" t="str">
        <f t="shared" si="20"/>
        <v>  1,245,651 </v>
      </c>
      <c r="K41" s="116" t="str">
        <f t="shared" si="20"/>
        <v>  1,307,933 </v>
      </c>
    </row>
    <row r="42" ht="14.25" customHeight="1">
      <c r="A42" s="73" t="s">
        <v>722</v>
      </c>
      <c r="B42" s="73" t="s">
        <v>723</v>
      </c>
      <c r="C42" s="73" t="str">
        <f>SUM(M8:M16)</f>
        <v>450</v>
      </c>
      <c r="D42" s="75">
        <v>300.0</v>
      </c>
      <c r="E42" s="116" t="str">
        <f t="shared" ref="E42:K42" si="21">$C$42*$D$42*E22</f>
        <v>  135,000 </v>
      </c>
      <c r="F42" s="116" t="str">
        <f t="shared" si="21"/>
        <v>  141,750 </v>
      </c>
      <c r="G42" s="116" t="str">
        <f t="shared" si="21"/>
        <v>  148,838 </v>
      </c>
      <c r="H42" s="116" t="str">
        <f t="shared" si="21"/>
        <v>  156,279 </v>
      </c>
      <c r="I42" s="116" t="str">
        <f t="shared" si="21"/>
        <v>  164,093 </v>
      </c>
      <c r="J42" s="116" t="str">
        <f t="shared" si="21"/>
        <v>  172,298 </v>
      </c>
      <c r="K42" s="116" t="str">
        <f t="shared" si="21"/>
        <v>  180,913 </v>
      </c>
    </row>
    <row r="43" ht="14.25" customHeight="1">
      <c r="A43" s="73"/>
      <c r="B43" s="73"/>
      <c r="C43" s="75"/>
      <c r="D43" s="75"/>
      <c r="E43" s="116"/>
      <c r="F43" s="116"/>
      <c r="G43" s="116"/>
      <c r="H43" s="116"/>
      <c r="I43" s="116"/>
      <c r="J43" s="116"/>
      <c r="K43" s="116"/>
    </row>
    <row r="44" ht="14.25" customHeight="1">
      <c r="A44" s="73"/>
      <c r="B44" s="73"/>
      <c r="C44" s="75"/>
      <c r="D44" s="75"/>
      <c r="E44" s="116"/>
      <c r="F44" s="116"/>
      <c r="G44" s="116"/>
      <c r="H44" s="116"/>
      <c r="I44" s="116"/>
      <c r="J44" s="116"/>
      <c r="K44" s="116"/>
    </row>
    <row r="45" ht="14.25" customHeight="1">
      <c r="A45" s="73"/>
      <c r="B45" s="73"/>
      <c r="C45" s="75"/>
      <c r="D45" s="75"/>
      <c r="E45" s="116"/>
      <c r="F45" s="116"/>
      <c r="G45" s="116"/>
      <c r="H45" s="116"/>
      <c r="I45" s="116"/>
      <c r="J45" s="116"/>
      <c r="K45" s="116"/>
    </row>
    <row r="46" ht="14.25" customHeight="1">
      <c r="A46" s="73"/>
      <c r="B46" s="73"/>
      <c r="C46" s="75"/>
      <c r="D46" s="75"/>
      <c r="E46" s="116"/>
      <c r="F46" s="116"/>
      <c r="G46" s="116"/>
      <c r="H46" s="116"/>
      <c r="I46" s="116"/>
      <c r="J46" s="116"/>
      <c r="K46" s="116"/>
    </row>
    <row r="47" ht="14.25" customHeight="1">
      <c r="A47" s="117" t="s">
        <v>413</v>
      </c>
      <c r="B47" s="117"/>
      <c r="C47" s="79"/>
      <c r="D47" s="79"/>
      <c r="E47" s="118" t="str">
        <f t="shared" ref="E47:K47" si="22">SUM(E41:E46)</f>
        <v>  1,111,000 </v>
      </c>
      <c r="F47" s="118" t="str">
        <f t="shared" si="22"/>
        <v>  1,166,550 </v>
      </c>
      <c r="G47" s="118" t="str">
        <f t="shared" si="22"/>
        <v>  1,224,878 </v>
      </c>
      <c r="H47" s="118" t="str">
        <f t="shared" si="22"/>
        <v>  1,286,121 </v>
      </c>
      <c r="I47" s="118" t="str">
        <f t="shared" si="22"/>
        <v>  1,350,427 </v>
      </c>
      <c r="J47" s="118" t="str">
        <f t="shared" si="22"/>
        <v>  1,417,949 </v>
      </c>
      <c r="K47" s="118" t="str">
        <f t="shared" si="22"/>
        <v>  1,488,846 </v>
      </c>
    </row>
    <row r="48" ht="14.25" customHeight="1">
      <c r="A48" s="117"/>
      <c r="B48" s="117"/>
      <c r="C48" s="79"/>
      <c r="D48" s="79"/>
      <c r="E48" s="118"/>
      <c r="F48" s="118"/>
      <c r="G48" s="118"/>
      <c r="H48" s="118"/>
      <c r="I48" s="118"/>
      <c r="J48" s="118"/>
      <c r="K48" s="118"/>
    </row>
    <row r="49" ht="14.25" customHeight="1">
      <c r="A49" s="376" t="s">
        <v>414</v>
      </c>
      <c r="B49" s="376"/>
      <c r="C49" s="384"/>
      <c r="D49" s="384"/>
      <c r="E49" s="116"/>
      <c r="F49" s="116"/>
      <c r="G49" s="116"/>
      <c r="H49" s="116"/>
      <c r="I49" s="116"/>
      <c r="J49" s="116"/>
      <c r="K49" s="116"/>
    </row>
    <row r="50" ht="14.25" customHeight="1">
      <c r="A50" s="298" t="s">
        <v>724</v>
      </c>
      <c r="B50" s="73" t="s">
        <v>201</v>
      </c>
      <c r="C50" s="384">
        <v>1.0</v>
      </c>
      <c r="D50" s="385">
        <v>10000.0</v>
      </c>
      <c r="E50" s="116" t="str">
        <f t="shared" ref="E50:K50" si="23">$C50*$D50*12*E$22</f>
        <v>  120,000 </v>
      </c>
      <c r="F50" s="116" t="str">
        <f t="shared" si="23"/>
        <v>  126,000 </v>
      </c>
      <c r="G50" s="116" t="str">
        <f t="shared" si="23"/>
        <v>  132,300 </v>
      </c>
      <c r="H50" s="116" t="str">
        <f t="shared" si="23"/>
        <v>  138,915 </v>
      </c>
      <c r="I50" s="116" t="str">
        <f t="shared" si="23"/>
        <v>  145,861 </v>
      </c>
      <c r="J50" s="116" t="str">
        <f t="shared" si="23"/>
        <v>  153,154 </v>
      </c>
      <c r="K50" s="116" t="str">
        <f t="shared" si="23"/>
        <v>  160,811 </v>
      </c>
    </row>
    <row r="51" ht="14.25" customHeight="1">
      <c r="A51" s="298"/>
      <c r="B51" s="298"/>
      <c r="C51" s="384"/>
      <c r="D51" s="385"/>
      <c r="E51" s="116"/>
      <c r="F51" s="116"/>
      <c r="G51" s="116"/>
      <c r="H51" s="116"/>
      <c r="I51" s="116"/>
      <c r="J51" s="116"/>
      <c r="K51" s="116"/>
    </row>
    <row r="52" ht="14.25" customHeight="1">
      <c r="A52" s="117" t="s">
        <v>416</v>
      </c>
      <c r="B52" s="117"/>
      <c r="C52" s="117"/>
      <c r="D52" s="117"/>
      <c r="E52" s="118" t="str">
        <f t="shared" ref="E52:K52" si="24">SUM(E50:E51)</f>
        <v>  120,000 </v>
      </c>
      <c r="F52" s="118" t="str">
        <f t="shared" si="24"/>
        <v>  126,000 </v>
      </c>
      <c r="G52" s="118" t="str">
        <f t="shared" si="24"/>
        <v>  132,300 </v>
      </c>
      <c r="H52" s="118" t="str">
        <f t="shared" si="24"/>
        <v>  138,915 </v>
      </c>
      <c r="I52" s="118" t="str">
        <f t="shared" si="24"/>
        <v>  145,861 </v>
      </c>
      <c r="J52" s="118" t="str">
        <f t="shared" si="24"/>
        <v>  153,154 </v>
      </c>
      <c r="K52" s="118" t="str">
        <f t="shared" si="24"/>
        <v>  160,811 </v>
      </c>
    </row>
    <row r="53" ht="14.25" customHeight="1">
      <c r="A53" s="117" t="s">
        <v>654</v>
      </c>
      <c r="B53" s="117"/>
      <c r="C53" s="117"/>
      <c r="D53" s="117"/>
      <c r="E53" s="118" t="str">
        <f t="shared" ref="E53:K53" si="25">E47+E52</f>
        <v>  1,231,000 </v>
      </c>
      <c r="F53" s="118" t="str">
        <f t="shared" si="25"/>
        <v>  1,292,550 </v>
      </c>
      <c r="G53" s="118" t="str">
        <f t="shared" si="25"/>
        <v>  1,357,178 </v>
      </c>
      <c r="H53" s="118" t="str">
        <f t="shared" si="25"/>
        <v>  1,425,036 </v>
      </c>
      <c r="I53" s="118" t="str">
        <f t="shared" si="25"/>
        <v>  1,496,288 </v>
      </c>
      <c r="J53" s="118" t="str">
        <f t="shared" si="25"/>
        <v>  1,571,103 </v>
      </c>
      <c r="K53" s="118" t="str">
        <f t="shared" si="25"/>
        <v>  1,649,658 </v>
      </c>
    </row>
    <row r="54" ht="14.25" customHeight="1">
      <c r="A54" s="73"/>
      <c r="B54" s="73"/>
      <c r="C54" s="73"/>
      <c r="D54" s="73"/>
      <c r="E54" s="116"/>
      <c r="F54" s="116"/>
      <c r="G54" s="116"/>
      <c r="H54" s="116"/>
      <c r="I54" s="116"/>
      <c r="J54" s="116"/>
      <c r="K54" s="116"/>
    </row>
    <row r="55" ht="14.25" customHeight="1">
      <c r="A55" s="117" t="s">
        <v>725</v>
      </c>
      <c r="B55" s="117"/>
      <c r="C55" s="117"/>
      <c r="D55" s="117"/>
      <c r="E55" s="118" t="str">
        <f t="shared" ref="E55:K55" si="26">E37-E53</f>
        <v>  825,000 </v>
      </c>
      <c r="F55" s="118" t="str">
        <f t="shared" si="26"/>
        <v>  866,250 </v>
      </c>
      <c r="G55" s="118" t="str">
        <f t="shared" si="26"/>
        <v>  909,563 </v>
      </c>
      <c r="H55" s="118" t="str">
        <f t="shared" si="26"/>
        <v>  955,041 </v>
      </c>
      <c r="I55" s="118" t="str">
        <f t="shared" si="26"/>
        <v>  1,002,793 </v>
      </c>
      <c r="J55" s="118" t="str">
        <f t="shared" si="26"/>
        <v>  1,052,932 </v>
      </c>
      <c r="K55" s="118" t="str">
        <f t="shared" si="26"/>
        <v>  1,105,579 </v>
      </c>
    </row>
    <row r="56" ht="14.25" customHeight="1">
      <c r="A56" s="294"/>
      <c r="B56" s="294"/>
      <c r="C56" s="294"/>
      <c r="D56" s="294"/>
      <c r="E56" s="386"/>
      <c r="F56" s="386"/>
      <c r="G56" s="386"/>
      <c r="H56" s="386"/>
      <c r="I56" s="386"/>
      <c r="J56" s="386"/>
      <c r="K56" s="386"/>
    </row>
    <row r="57" ht="14.25" customHeight="1">
      <c r="A57" s="111"/>
      <c r="B57" s="111"/>
      <c r="C57" s="294"/>
      <c r="D57" s="294"/>
      <c r="E57" s="386"/>
      <c r="F57" s="386"/>
      <c r="G57" s="386"/>
      <c r="H57" s="386"/>
      <c r="I57" s="386"/>
      <c r="J57" s="386"/>
      <c r="K57" s="386"/>
    </row>
    <row r="58" ht="14.25" customHeight="1">
      <c r="A58" s="24" t="s">
        <v>726</v>
      </c>
    </row>
    <row r="59" ht="14.25" customHeight="1"/>
    <row r="60" ht="14.25" customHeight="1"/>
    <row r="61" ht="14.25" customHeight="1">
      <c r="A61" t="s">
        <v>369</v>
      </c>
    </row>
    <row r="62" ht="14.25" customHeight="1">
      <c r="A62">
        <v>1.0</v>
      </c>
      <c r="B62" t="s">
        <v>658</v>
      </c>
    </row>
    <row r="63" ht="14.25" customHeight="1">
      <c r="A63">
        <v>2.0</v>
      </c>
      <c r="B63" t="s">
        <v>659</v>
      </c>
    </row>
    <row r="64" ht="14.25" customHeight="1">
      <c r="A64">
        <v>3.0</v>
      </c>
      <c r="B64" s="111" t="s">
        <v>660</v>
      </c>
    </row>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sheetData>
  <mergeCells count="4">
    <mergeCell ref="A20:K20"/>
    <mergeCell ref="A3:L3"/>
    <mergeCell ref="A58:L58"/>
    <mergeCell ref="A4:L4"/>
  </mergeCells>
  <printOptions/>
  <pageMargins bottom="0.75" footer="0.0" header="0.0" left="0.7" right="0.7" top="0.75"/>
  <pageSetup paperSize="9" scale="45" orientation="portrait"/>
  <drawing r:id="rId1"/>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1.14"/>
    <col customWidth="1" min="2" max="2" width="9.14"/>
    <col customWidth="1" min="3" max="3" width="10.57"/>
    <col customWidth="1" min="4" max="4" width="15.0"/>
    <col customWidth="1" min="5" max="5" width="19.43"/>
    <col customWidth="1" min="6" max="10" width="14.71"/>
    <col customWidth="1" min="11" max="11" width="8.71"/>
    <col customWidth="1" min="12" max="12" width="27.14"/>
    <col customWidth="1" min="13" max="17" width="8.71"/>
    <col customWidth="1" min="18" max="20" width="9.43"/>
    <col customWidth="1" min="21" max="21" width="8.71"/>
    <col customWidth="1" min="22" max="22" width="9.43"/>
    <col customWidth="1" min="23" max="23" width="8.71"/>
  </cols>
  <sheetData>
    <row r="1" ht="14.25" customHeight="1"/>
    <row r="2" ht="14.25" customHeight="1">
      <c r="A2" s="25" t="s">
        <v>727</v>
      </c>
    </row>
    <row r="3" ht="14.25" customHeight="1"/>
    <row r="4" ht="14.25" customHeight="1">
      <c r="A4" s="111"/>
      <c r="B4" s="111"/>
      <c r="C4" s="111"/>
      <c r="D4" s="111"/>
      <c r="E4" s="111"/>
      <c r="F4" s="111"/>
      <c r="G4" s="111"/>
      <c r="H4" s="111"/>
      <c r="I4" s="111"/>
    </row>
    <row r="5" ht="14.25" customHeight="1">
      <c r="A5" s="111"/>
      <c r="B5" s="111"/>
      <c r="C5" s="111"/>
      <c r="D5" s="111"/>
      <c r="E5" s="111"/>
      <c r="F5" s="111"/>
      <c r="G5" s="111"/>
      <c r="H5" s="111"/>
      <c r="I5" s="111"/>
    </row>
    <row r="6" ht="14.25" customHeight="1">
      <c r="A6" s="114" t="s">
        <v>83</v>
      </c>
      <c r="B6" s="114"/>
      <c r="C6" s="115" t="s">
        <v>193</v>
      </c>
      <c r="D6" s="115" t="s">
        <v>194</v>
      </c>
      <c r="E6" s="115" t="s">
        <v>195</v>
      </c>
      <c r="F6" s="115" t="s">
        <v>196</v>
      </c>
      <c r="G6" s="115" t="s">
        <v>197</v>
      </c>
      <c r="H6" s="115" t="s">
        <v>198</v>
      </c>
      <c r="I6" s="115" t="s">
        <v>199</v>
      </c>
    </row>
    <row r="7" ht="14.25" customHeight="1">
      <c r="A7" s="117" t="s">
        <v>728</v>
      </c>
      <c r="B7" s="73"/>
      <c r="C7" s="73"/>
      <c r="D7" s="73"/>
      <c r="E7" s="73"/>
      <c r="F7" s="73"/>
      <c r="G7" s="73"/>
      <c r="H7" s="73"/>
      <c r="I7" s="73"/>
    </row>
    <row r="8" ht="14.25" customHeight="1">
      <c r="A8" s="117" t="s">
        <v>729</v>
      </c>
      <c r="B8" s="365"/>
      <c r="C8" s="387"/>
      <c r="D8" s="387"/>
      <c r="E8" s="387"/>
      <c r="F8" s="387"/>
      <c r="G8" s="387"/>
      <c r="H8" s="387"/>
      <c r="I8" s="387"/>
    </row>
    <row r="9" ht="14.25" customHeight="1">
      <c r="A9" s="73" t="str">
        <f>'10.Grain Production details'!A92</f>
        <v>Soybean</v>
      </c>
      <c r="B9" s="365"/>
      <c r="C9" s="387" t="str">
        <f>'10.Grain Production details'!B92</f>
        <v>  -   </v>
      </c>
      <c r="D9" s="387" t="str">
        <f>'10.Grain Production details'!C92</f>
        <v>  -   </v>
      </c>
      <c r="E9" s="387" t="str">
        <f>'10.Grain Production details'!D92</f>
        <v>  -   </v>
      </c>
      <c r="F9" s="387" t="str">
        <f>'10.Grain Production details'!E92</f>
        <v>  -   </v>
      </c>
      <c r="G9" s="387" t="str">
        <f>'10.Grain Production details'!F92</f>
        <v>  -   </v>
      </c>
      <c r="H9" s="387" t="str">
        <f>'10.Grain Production details'!G92</f>
        <v>  -   </v>
      </c>
      <c r="I9" s="387" t="str">
        <f>'10.Grain Production details'!H92</f>
        <v>  -   </v>
      </c>
    </row>
    <row r="10" ht="14.25" customHeight="1">
      <c r="A10" s="73" t="str">
        <f>'10.Grain Production details'!A93</f>
        <v>Red Gram/Tur</v>
      </c>
      <c r="B10" s="365"/>
      <c r="C10" s="387" t="str">
        <f>'10.Grain Production details'!B93</f>
        <v>  -   </v>
      </c>
      <c r="D10" s="387" t="str">
        <f>'10.Grain Production details'!C93</f>
        <v>  -   </v>
      </c>
      <c r="E10" s="387" t="str">
        <f>'10.Grain Production details'!D93</f>
        <v>  -   </v>
      </c>
      <c r="F10" s="387" t="str">
        <f>'10.Grain Production details'!E93</f>
        <v>  -   </v>
      </c>
      <c r="G10" s="387" t="str">
        <f>'10.Grain Production details'!F93</f>
        <v>  -   </v>
      </c>
      <c r="H10" s="387" t="str">
        <f>'10.Grain Production details'!G93</f>
        <v>  -   </v>
      </c>
      <c r="I10" s="387" t="str">
        <f>'10.Grain Production details'!H93</f>
        <v>  -   </v>
      </c>
    </row>
    <row r="11" ht="14.25" customHeight="1">
      <c r="A11" s="73" t="str">
        <f>'10.Grain Production details'!A94</f>
        <v>Paddy/Rice</v>
      </c>
      <c r="B11" s="365"/>
      <c r="C11" s="387" t="str">
        <f>'10.Grain Production details'!B94</f>
        <v>  -   </v>
      </c>
      <c r="D11" s="387" t="str">
        <f>'10.Grain Production details'!C94</f>
        <v>  -   </v>
      </c>
      <c r="E11" s="387" t="str">
        <f>'10.Grain Production details'!D94</f>
        <v>  -   </v>
      </c>
      <c r="F11" s="387" t="str">
        <f>'10.Grain Production details'!E94</f>
        <v>  -   </v>
      </c>
      <c r="G11" s="387" t="str">
        <f>'10.Grain Production details'!F94</f>
        <v>  -   </v>
      </c>
      <c r="H11" s="387" t="str">
        <f>'10.Grain Production details'!G94</f>
        <v>  -   </v>
      </c>
      <c r="I11" s="387" t="str">
        <f>'10.Grain Production details'!H94</f>
        <v>  -   </v>
      </c>
    </row>
    <row r="12" ht="14.25" customHeight="1">
      <c r="A12" s="73" t="str">
        <f>'10.Grain Production details'!A95</f>
        <v>Green Gram/ Moong</v>
      </c>
      <c r="B12" s="365"/>
      <c r="C12" s="387" t="str">
        <f>'10.Grain Production details'!B95</f>
        <v>  -   </v>
      </c>
      <c r="D12" s="387" t="str">
        <f>'10.Grain Production details'!C95</f>
        <v>  -   </v>
      </c>
      <c r="E12" s="387" t="str">
        <f>'10.Grain Production details'!D95</f>
        <v>  -   </v>
      </c>
      <c r="F12" s="387" t="str">
        <f>'10.Grain Production details'!E95</f>
        <v>  -   </v>
      </c>
      <c r="G12" s="387" t="str">
        <f>'10.Grain Production details'!F95</f>
        <v>  -   </v>
      </c>
      <c r="H12" s="387" t="str">
        <f>'10.Grain Production details'!G95</f>
        <v>  -   </v>
      </c>
      <c r="I12" s="387" t="str">
        <f>'10.Grain Production details'!H95</f>
        <v>  -   </v>
      </c>
    </row>
    <row r="13" ht="14.25" customHeight="1">
      <c r="A13" s="73" t="str">
        <f>'10.Grain Production details'!A96</f>
        <v>Maize</v>
      </c>
      <c r="B13" s="365"/>
      <c r="C13" s="387" t="str">
        <f>'10.Grain Production details'!B96</f>
        <v>  -   </v>
      </c>
      <c r="D13" s="387" t="str">
        <f>'10.Grain Production details'!C96</f>
        <v>  -   </v>
      </c>
      <c r="E13" s="387" t="str">
        <f>'10.Grain Production details'!D96</f>
        <v>  -   </v>
      </c>
      <c r="F13" s="387" t="str">
        <f>'10.Grain Production details'!E96</f>
        <v>  -   </v>
      </c>
      <c r="G13" s="387" t="str">
        <f>'10.Grain Production details'!F96</f>
        <v>  -   </v>
      </c>
      <c r="H13" s="387" t="str">
        <f>'10.Grain Production details'!G96</f>
        <v>  -   </v>
      </c>
      <c r="I13" s="387" t="str">
        <f>'10.Grain Production details'!H96</f>
        <v>  -   </v>
      </c>
    </row>
    <row r="14" ht="14.25" customHeight="1">
      <c r="A14" s="73" t="str">
        <f>'10.Grain Production details'!A97</f>
        <v>Black Gram/Udid</v>
      </c>
      <c r="B14" s="365"/>
      <c r="C14" s="387" t="str">
        <f>'10.Grain Production details'!B97</f>
        <v>  -   </v>
      </c>
      <c r="D14" s="387" t="str">
        <f>'10.Grain Production details'!C97</f>
        <v>  -   </v>
      </c>
      <c r="E14" s="387" t="str">
        <f>'10.Grain Production details'!D97</f>
        <v>  -   </v>
      </c>
      <c r="F14" s="387" t="str">
        <f>'10.Grain Production details'!E97</f>
        <v>  -   </v>
      </c>
      <c r="G14" s="387" t="str">
        <f>'10.Grain Production details'!F97</f>
        <v>  -   </v>
      </c>
      <c r="H14" s="387" t="str">
        <f>'10.Grain Production details'!G97</f>
        <v>  -   </v>
      </c>
      <c r="I14" s="387" t="str">
        <f>'10.Grain Production details'!H97</f>
        <v>  -   </v>
      </c>
    </row>
    <row r="15" ht="14.25" customHeight="1">
      <c r="A15" s="73" t="str">
        <f>'10.Grain Production details'!A98</f>
        <v>Bajra</v>
      </c>
      <c r="B15" s="365"/>
      <c r="C15" s="387" t="str">
        <f>'10.Grain Production details'!B98</f>
        <v>  -   </v>
      </c>
      <c r="D15" s="387" t="str">
        <f>'10.Grain Production details'!C98</f>
        <v>  -   </v>
      </c>
      <c r="E15" s="387" t="str">
        <f>'10.Grain Production details'!D98</f>
        <v>  -   </v>
      </c>
      <c r="F15" s="387" t="str">
        <f>'10.Grain Production details'!E98</f>
        <v>  -   </v>
      </c>
      <c r="G15" s="387" t="str">
        <f>'10.Grain Production details'!F98</f>
        <v>  -   </v>
      </c>
      <c r="H15" s="387" t="str">
        <f>'10.Grain Production details'!G98</f>
        <v>  -   </v>
      </c>
      <c r="I15" s="387" t="str">
        <f>'10.Grain Production details'!H98</f>
        <v>  -   </v>
      </c>
    </row>
    <row r="16" ht="14.25" customHeight="1">
      <c r="A16" s="73" t="str">
        <f>'10.Grain Production details'!A99</f>
        <v>Jawar</v>
      </c>
      <c r="B16" s="365"/>
      <c r="C16" s="387" t="str">
        <f>'10.Grain Production details'!B99</f>
        <v>  -   </v>
      </c>
      <c r="D16" s="387" t="str">
        <f>'10.Grain Production details'!C99</f>
        <v>  -   </v>
      </c>
      <c r="E16" s="387" t="str">
        <f>'10.Grain Production details'!D99</f>
        <v>  -   </v>
      </c>
      <c r="F16" s="387" t="str">
        <f>'10.Grain Production details'!E99</f>
        <v>  -   </v>
      </c>
      <c r="G16" s="387" t="str">
        <f>'10.Grain Production details'!F99</f>
        <v>  -   </v>
      </c>
      <c r="H16" s="387" t="str">
        <f>'10.Grain Production details'!G99</f>
        <v>  -   </v>
      </c>
      <c r="I16" s="387" t="str">
        <f>'10.Grain Production details'!H99</f>
        <v>  -   </v>
      </c>
    </row>
    <row r="17" ht="14.25" customHeight="1">
      <c r="A17" s="117" t="s">
        <v>730</v>
      </c>
      <c r="B17" s="365"/>
      <c r="C17" s="387"/>
      <c r="D17" s="387"/>
      <c r="E17" s="387"/>
      <c r="F17" s="387"/>
      <c r="G17" s="387"/>
      <c r="H17" s="387"/>
      <c r="I17" s="387"/>
    </row>
    <row r="18" ht="14.25" customHeight="1">
      <c r="A18" s="73" t="str">
        <f>'10.Grain Production details'!A101</f>
        <v>Wheat</v>
      </c>
      <c r="B18" s="365"/>
      <c r="C18" s="387" t="str">
        <f>'10.Grain Production details'!B101</f>
        <v>  -   </v>
      </c>
      <c r="D18" s="387" t="str">
        <f>'10.Grain Production details'!C101</f>
        <v>  -   </v>
      </c>
      <c r="E18" s="387" t="str">
        <f>'10.Grain Production details'!D101</f>
        <v>  -   </v>
      </c>
      <c r="F18" s="387" t="str">
        <f>'10.Grain Production details'!E101</f>
        <v>  -   </v>
      </c>
      <c r="G18" s="387" t="str">
        <f>'10.Grain Production details'!F101</f>
        <v>  -   </v>
      </c>
      <c r="H18" s="387" t="str">
        <f>'10.Grain Production details'!G101</f>
        <v>  -   </v>
      </c>
      <c r="I18" s="387" t="str">
        <f>'10.Grain Production details'!H101</f>
        <v>  -   </v>
      </c>
    </row>
    <row r="19" ht="14.25" customHeight="1">
      <c r="A19" s="73" t="str">
        <f>'10.Grain Production details'!A102</f>
        <v>Bengal Gram/Channa</v>
      </c>
      <c r="B19" s="365"/>
      <c r="C19" s="387" t="str">
        <f>'10.Grain Production details'!B102</f>
        <v>  -   </v>
      </c>
      <c r="D19" s="387" t="str">
        <f>'10.Grain Production details'!C102</f>
        <v>  -   </v>
      </c>
      <c r="E19" s="387" t="str">
        <f>'10.Grain Production details'!D102</f>
        <v>  -   </v>
      </c>
      <c r="F19" s="387" t="str">
        <f>'10.Grain Production details'!E102</f>
        <v>  -   </v>
      </c>
      <c r="G19" s="387" t="str">
        <f>'10.Grain Production details'!F102</f>
        <v>  -   </v>
      </c>
      <c r="H19" s="387" t="str">
        <f>'10.Grain Production details'!G102</f>
        <v>  -   </v>
      </c>
      <c r="I19" s="387" t="str">
        <f>'10.Grain Production details'!H102</f>
        <v>  -   </v>
      </c>
    </row>
    <row r="20" ht="14.25" customHeight="1">
      <c r="A20" s="73" t="str">
        <f>'10.Grain Production details'!A103</f>
        <v>Jawar</v>
      </c>
      <c r="B20" s="365"/>
      <c r="C20" s="387" t="str">
        <f>'10.Grain Production details'!B103</f>
        <v>  -   </v>
      </c>
      <c r="D20" s="387" t="str">
        <f>'10.Grain Production details'!C103</f>
        <v>  -   </v>
      </c>
      <c r="E20" s="387" t="str">
        <f>'10.Grain Production details'!D103</f>
        <v>  -   </v>
      </c>
      <c r="F20" s="387" t="str">
        <f>'10.Grain Production details'!E103</f>
        <v>  -   </v>
      </c>
      <c r="G20" s="387" t="str">
        <f>'10.Grain Production details'!F103</f>
        <v>  -   </v>
      </c>
      <c r="H20" s="387" t="str">
        <f>'10.Grain Production details'!G103</f>
        <v>  -   </v>
      </c>
      <c r="I20" s="387" t="str">
        <f>'10.Grain Production details'!H103</f>
        <v>  -   </v>
      </c>
    </row>
    <row r="21" ht="14.25" customHeight="1">
      <c r="A21" s="73" t="str">
        <f>'10.Grain Production details'!A104</f>
        <v>Maize</v>
      </c>
      <c r="B21" s="365"/>
      <c r="C21" s="387" t="str">
        <f>'10.Grain Production details'!B104</f>
        <v>  -   </v>
      </c>
      <c r="D21" s="387" t="str">
        <f>'10.Grain Production details'!C104</f>
        <v>  -   </v>
      </c>
      <c r="E21" s="387" t="str">
        <f>'10.Grain Production details'!D104</f>
        <v>  -   </v>
      </c>
      <c r="F21" s="387" t="str">
        <f>'10.Grain Production details'!E104</f>
        <v>  -   </v>
      </c>
      <c r="G21" s="387" t="str">
        <f>'10.Grain Production details'!F104</f>
        <v>  -   </v>
      </c>
      <c r="H21" s="387" t="str">
        <f>'10.Grain Production details'!G104</f>
        <v>  -   </v>
      </c>
      <c r="I21" s="387" t="str">
        <f>'10.Grain Production details'!H104</f>
        <v>  -   </v>
      </c>
    </row>
    <row r="22" ht="14.25" customHeight="1">
      <c r="A22" s="73" t="str">
        <f>'10.Grain Production details'!A105</f>
        <v>Safflower</v>
      </c>
      <c r="B22" s="365"/>
      <c r="C22" s="387" t="str">
        <f>'10.Grain Production details'!B105</f>
        <v>  -   </v>
      </c>
      <c r="D22" s="387" t="str">
        <f>'10.Grain Production details'!C105</f>
        <v>  -   </v>
      </c>
      <c r="E22" s="387" t="str">
        <f>'10.Grain Production details'!D105</f>
        <v>  -   </v>
      </c>
      <c r="F22" s="387" t="str">
        <f>'10.Grain Production details'!E105</f>
        <v>  -   </v>
      </c>
      <c r="G22" s="387" t="str">
        <f>'10.Grain Production details'!F105</f>
        <v>  -   </v>
      </c>
      <c r="H22" s="387" t="str">
        <f>'10.Grain Production details'!G105</f>
        <v>  -   </v>
      </c>
      <c r="I22" s="387" t="str">
        <f>'10.Grain Production details'!H105</f>
        <v>  -   </v>
      </c>
    </row>
    <row r="23" ht="14.25" customHeight="1">
      <c r="A23" s="73" t="str">
        <f>'10.Grain Production details'!A106</f>
        <v/>
      </c>
      <c r="B23" s="365"/>
      <c r="C23" s="387" t="str">
        <f>'10.Grain Production details'!B106</f>
        <v>  -   </v>
      </c>
      <c r="D23" s="387" t="str">
        <f>'10.Grain Production details'!C106</f>
        <v>  -   </v>
      </c>
      <c r="E23" s="387" t="str">
        <f>'10.Grain Production details'!D106</f>
        <v>  -   </v>
      </c>
      <c r="F23" s="387" t="str">
        <f>'10.Grain Production details'!E106</f>
        <v>  -   </v>
      </c>
      <c r="G23" s="387" t="str">
        <f>'10.Grain Production details'!F106</f>
        <v>  -   </v>
      </c>
      <c r="H23" s="387" t="str">
        <f>'10.Grain Production details'!G106</f>
        <v>  -   </v>
      </c>
      <c r="I23" s="387" t="str">
        <f>'10.Grain Production details'!H106</f>
        <v>  -   </v>
      </c>
    </row>
    <row r="24" ht="14.25" customHeight="1">
      <c r="A24" s="73" t="str">
        <f>'10.Grain Production details'!A107</f>
        <v/>
      </c>
      <c r="B24" s="365"/>
      <c r="C24" s="387" t="str">
        <f>'10.Grain Production details'!B107</f>
        <v>  -   </v>
      </c>
      <c r="D24" s="387" t="str">
        <f>'10.Grain Production details'!C107</f>
        <v>  -   </v>
      </c>
      <c r="E24" s="387" t="str">
        <f>'10.Grain Production details'!D107</f>
        <v>  -   </v>
      </c>
      <c r="F24" s="387" t="str">
        <f>'10.Grain Production details'!E107</f>
        <v>  -   </v>
      </c>
      <c r="G24" s="387" t="str">
        <f>'10.Grain Production details'!F107</f>
        <v>  -   </v>
      </c>
      <c r="H24" s="387" t="str">
        <f>'10.Grain Production details'!G107</f>
        <v>  -   </v>
      </c>
      <c r="I24" s="387" t="str">
        <f>'10.Grain Production details'!H107</f>
        <v>  -   </v>
      </c>
    </row>
    <row r="25" ht="14.25" customHeight="1">
      <c r="A25" s="73" t="str">
        <f>'10.Grain Production details'!A108</f>
        <v/>
      </c>
      <c r="B25" s="365"/>
      <c r="C25" s="387" t="str">
        <f>'10.Grain Production details'!B108</f>
        <v>  -   </v>
      </c>
      <c r="D25" s="387" t="str">
        <f>'10.Grain Production details'!C108</f>
        <v>  -   </v>
      </c>
      <c r="E25" s="387" t="str">
        <f>'10.Grain Production details'!D108</f>
        <v>  -   </v>
      </c>
      <c r="F25" s="387" t="str">
        <f>'10.Grain Production details'!E108</f>
        <v>  -   </v>
      </c>
      <c r="G25" s="387" t="str">
        <f>'10.Grain Production details'!F108</f>
        <v>  -   </v>
      </c>
      <c r="H25" s="387" t="str">
        <f>'10.Grain Production details'!G108</f>
        <v>  -   </v>
      </c>
      <c r="I25" s="387" t="str">
        <f>'10.Grain Production details'!H108</f>
        <v>  -   </v>
      </c>
    </row>
    <row r="26" ht="14.25" customHeight="1">
      <c r="A26" s="117" t="str">
        <f>'10.Grain Production details'!A33</f>
        <v>Summer</v>
      </c>
      <c r="B26" s="365"/>
      <c r="C26" s="387"/>
      <c r="D26" s="387"/>
      <c r="E26" s="387"/>
      <c r="F26" s="387"/>
      <c r="G26" s="387"/>
      <c r="H26" s="387"/>
      <c r="I26" s="387"/>
    </row>
    <row r="27" ht="14.25" customHeight="1">
      <c r="A27" s="73" t="str">
        <f>'10.Grain Production details'!A109</f>
        <v>Groundnut</v>
      </c>
      <c r="B27" s="365"/>
      <c r="C27" s="387" t="str">
        <f>'10.Grain Production details'!B110</f>
        <v>  -   </v>
      </c>
      <c r="D27" s="387" t="str">
        <f>'10.Grain Production details'!C110</f>
        <v>  -   </v>
      </c>
      <c r="E27" s="387" t="str">
        <f>'10.Grain Production details'!D110</f>
        <v>  -   </v>
      </c>
      <c r="F27" s="387" t="str">
        <f>'10.Grain Production details'!E110</f>
        <v>  -   </v>
      </c>
      <c r="G27" s="387" t="str">
        <f>'10.Grain Production details'!F110</f>
        <v>  -   </v>
      </c>
      <c r="H27" s="387" t="str">
        <f>'10.Grain Production details'!G110</f>
        <v>  -   </v>
      </c>
      <c r="I27" s="387" t="str">
        <f>'10.Grain Production details'!H110</f>
        <v>  -   </v>
      </c>
    </row>
    <row r="28" ht="14.25" customHeight="1">
      <c r="A28" s="73" t="str">
        <f>'10.Grain Production details'!A110</f>
        <v/>
      </c>
      <c r="B28" s="365"/>
      <c r="C28" s="387" t="str">
        <f>'10.Grain Production details'!B111</f>
        <v>  -   </v>
      </c>
      <c r="D28" s="387" t="str">
        <f>'10.Grain Production details'!C111</f>
        <v>  -   </v>
      </c>
      <c r="E28" s="387" t="str">
        <f>'10.Grain Production details'!D111</f>
        <v>  -   </v>
      </c>
      <c r="F28" s="387" t="str">
        <f>'10.Grain Production details'!E111</f>
        <v>  -   </v>
      </c>
      <c r="G28" s="387" t="str">
        <f>'10.Grain Production details'!F111</f>
        <v>  -   </v>
      </c>
      <c r="H28" s="387" t="str">
        <f>'10.Grain Production details'!G111</f>
        <v>  -   </v>
      </c>
      <c r="I28" s="387" t="str">
        <f>'10.Grain Production details'!H111</f>
        <v>  -   </v>
      </c>
    </row>
    <row r="29" ht="14.25" customHeight="1">
      <c r="A29" s="73" t="str">
        <f>'10.Grain Production details'!A111</f>
        <v/>
      </c>
      <c r="B29" s="365"/>
      <c r="C29" s="387" t="str">
        <f>'10.Grain Production details'!B112</f>
        <v>  -   </v>
      </c>
      <c r="D29" s="387" t="str">
        <f>'10.Grain Production details'!C112</f>
        <v>  -   </v>
      </c>
      <c r="E29" s="387" t="str">
        <f>'10.Grain Production details'!D112</f>
        <v>  -   </v>
      </c>
      <c r="F29" s="387" t="str">
        <f>'10.Grain Production details'!E112</f>
        <v>  -   </v>
      </c>
      <c r="G29" s="387" t="str">
        <f>'10.Grain Production details'!F112</f>
        <v>  -   </v>
      </c>
      <c r="H29" s="387" t="str">
        <f>'10.Grain Production details'!G112</f>
        <v>  -   </v>
      </c>
      <c r="I29" s="387" t="str">
        <f>'10.Grain Production details'!H112</f>
        <v>  -   </v>
      </c>
    </row>
    <row r="30" ht="14.25" customHeight="1">
      <c r="A30" s="73" t="str">
        <f>'10.Grain Production details'!A112</f>
        <v/>
      </c>
      <c r="B30" s="365"/>
      <c r="C30" s="387" t="str">
        <f>'10.Grain Production details'!B113</f>
        <v>  -   </v>
      </c>
      <c r="D30" s="387" t="str">
        <f>'10.Grain Production details'!C113</f>
        <v>  -   </v>
      </c>
      <c r="E30" s="387" t="str">
        <f>'10.Grain Production details'!D113</f>
        <v>  -   </v>
      </c>
      <c r="F30" s="387" t="str">
        <f>'10.Grain Production details'!E113</f>
        <v>  -   </v>
      </c>
      <c r="G30" s="387" t="str">
        <f>'10.Grain Production details'!F113</f>
        <v>  -   </v>
      </c>
      <c r="H30" s="387" t="str">
        <f>'10.Grain Production details'!G113</f>
        <v>  -   </v>
      </c>
      <c r="I30" s="387" t="str">
        <f>'10.Grain Production details'!H113</f>
        <v>  -   </v>
      </c>
    </row>
    <row r="31" ht="14.25" customHeight="1">
      <c r="A31" s="73" t="str">
        <f>'10.Grain Production details'!A113</f>
        <v/>
      </c>
      <c r="B31" s="365"/>
      <c r="C31" s="387" t="str">
        <f>'10.Grain Production details'!C114</f>
        <v/>
      </c>
      <c r="D31" s="387" t="str">
        <f>'10.Grain Production details'!D114</f>
        <v/>
      </c>
      <c r="E31" s="387" t="str">
        <f>'10.Grain Production details'!E114</f>
        <v/>
      </c>
      <c r="F31" s="387" t="str">
        <f>'10.Grain Production details'!F114</f>
        <v/>
      </c>
      <c r="G31" s="387" t="str">
        <f>'10.Grain Production details'!G114</f>
        <v/>
      </c>
      <c r="H31" s="387" t="str">
        <f>'10.Grain Production details'!H114</f>
        <v/>
      </c>
      <c r="I31" s="387" t="str">
        <f>'10.Grain Production details'!I114</f>
        <v/>
      </c>
    </row>
    <row r="32" ht="14.25" customHeight="1">
      <c r="A32" s="117" t="str">
        <f>'11.F&amp;V Crop Production details'!A1:H1</f>
        <v>Fruit  &amp; Vegetables Crop Production Details</v>
      </c>
      <c r="B32" s="365"/>
      <c r="C32" s="387"/>
      <c r="D32" s="387"/>
      <c r="E32" s="387"/>
      <c r="F32" s="387"/>
      <c r="G32" s="387"/>
      <c r="H32" s="387"/>
      <c r="I32" s="387"/>
    </row>
    <row r="33" ht="14.25" customHeight="1">
      <c r="A33" s="73" t="str">
        <f>'11.F&amp;V Crop Production details'!A102</f>
        <v>Onion</v>
      </c>
      <c r="B33" s="365"/>
      <c r="C33" s="387" t="str">
        <f>'11.F&amp;V Crop Production details'!B102</f>
        <v>  -   </v>
      </c>
      <c r="D33" s="387" t="str">
        <f>'11.F&amp;V Crop Production details'!C102</f>
        <v>  -   </v>
      </c>
      <c r="E33" s="387" t="str">
        <f>'11.F&amp;V Crop Production details'!D102</f>
        <v>  -   </v>
      </c>
      <c r="F33" s="387" t="str">
        <f>'11.F&amp;V Crop Production details'!E102</f>
        <v>  -   </v>
      </c>
      <c r="G33" s="387" t="str">
        <f>'11.F&amp;V Crop Production details'!F102</f>
        <v>  -   </v>
      </c>
      <c r="H33" s="387" t="str">
        <f>'11.F&amp;V Crop Production details'!G102</f>
        <v>  -   </v>
      </c>
      <c r="I33" s="387" t="str">
        <f>'11.F&amp;V Crop Production details'!H102</f>
        <v>  -   </v>
      </c>
    </row>
    <row r="34" ht="14.25" customHeight="1">
      <c r="A34" s="73" t="str">
        <f>'11.F&amp;V Crop Production details'!A103</f>
        <v>Tomato</v>
      </c>
      <c r="B34" s="365"/>
      <c r="C34" s="387" t="str">
        <f>'11.F&amp;V Crop Production details'!B103</f>
        <v>  -   </v>
      </c>
      <c r="D34" s="387" t="str">
        <f>'11.F&amp;V Crop Production details'!C103</f>
        <v>  -   </v>
      </c>
      <c r="E34" s="387" t="str">
        <f>'11.F&amp;V Crop Production details'!D103</f>
        <v>  -   </v>
      </c>
      <c r="F34" s="387" t="str">
        <f>'11.F&amp;V Crop Production details'!E103</f>
        <v>  -   </v>
      </c>
      <c r="G34" s="387" t="str">
        <f>'11.F&amp;V Crop Production details'!F103</f>
        <v>  -   </v>
      </c>
      <c r="H34" s="387" t="str">
        <f>'11.F&amp;V Crop Production details'!G103</f>
        <v>  -   </v>
      </c>
      <c r="I34" s="387" t="str">
        <f>'11.F&amp;V Crop Production details'!H103</f>
        <v>  -   </v>
      </c>
    </row>
    <row r="35" ht="14.25" customHeight="1">
      <c r="A35" s="73" t="str">
        <f>'11.F&amp;V Crop Production details'!A104</f>
        <v>Okra</v>
      </c>
      <c r="B35" s="365"/>
      <c r="C35" s="387" t="str">
        <f>'11.F&amp;V Crop Production details'!B104</f>
        <v>  -   </v>
      </c>
      <c r="D35" s="387" t="str">
        <f>'11.F&amp;V Crop Production details'!C104</f>
        <v>  -   </v>
      </c>
      <c r="E35" s="387" t="str">
        <f>'11.F&amp;V Crop Production details'!D104</f>
        <v>  -   </v>
      </c>
      <c r="F35" s="387" t="str">
        <f>'11.F&amp;V Crop Production details'!E104</f>
        <v>  -   </v>
      </c>
      <c r="G35" s="387" t="str">
        <f>'11.F&amp;V Crop Production details'!F104</f>
        <v>  -   </v>
      </c>
      <c r="H35" s="387" t="str">
        <f>'11.F&amp;V Crop Production details'!G104</f>
        <v>  -   </v>
      </c>
      <c r="I35" s="387" t="str">
        <f>'11.F&amp;V Crop Production details'!H104</f>
        <v>  -   </v>
      </c>
    </row>
    <row r="36" ht="14.25" customHeight="1">
      <c r="A36" s="73" t="str">
        <f>'11.F&amp;V Crop Production details'!A105</f>
        <v>Chilli</v>
      </c>
      <c r="B36" s="365"/>
      <c r="C36" s="387" t="str">
        <f>'11.F&amp;V Crop Production details'!B105</f>
        <v>  -   </v>
      </c>
      <c r="D36" s="387" t="str">
        <f>'11.F&amp;V Crop Production details'!C105</f>
        <v>  -   </v>
      </c>
      <c r="E36" s="387" t="str">
        <f>'11.F&amp;V Crop Production details'!D105</f>
        <v>  -   </v>
      </c>
      <c r="F36" s="387" t="str">
        <f>'11.F&amp;V Crop Production details'!E105</f>
        <v>  -   </v>
      </c>
      <c r="G36" s="387" t="str">
        <f>'11.F&amp;V Crop Production details'!F105</f>
        <v>  -   </v>
      </c>
      <c r="H36" s="387" t="str">
        <f>'11.F&amp;V Crop Production details'!G105</f>
        <v>  -   </v>
      </c>
      <c r="I36" s="387" t="str">
        <f>'11.F&amp;V Crop Production details'!H105</f>
        <v>  -   </v>
      </c>
    </row>
    <row r="37" ht="14.25" customHeight="1">
      <c r="A37" s="73" t="str">
        <f>'11.F&amp;V Crop Production details'!A106</f>
        <v>Potato</v>
      </c>
      <c r="B37" s="365"/>
      <c r="C37" s="387" t="str">
        <f>'11.F&amp;V Crop Production details'!B106</f>
        <v>  -   </v>
      </c>
      <c r="D37" s="387" t="str">
        <f>'11.F&amp;V Crop Production details'!C106</f>
        <v>  -   </v>
      </c>
      <c r="E37" s="387" t="str">
        <f>'11.F&amp;V Crop Production details'!D106</f>
        <v>  -   </v>
      </c>
      <c r="F37" s="387" t="str">
        <f>'11.F&amp;V Crop Production details'!E106</f>
        <v>  -   </v>
      </c>
      <c r="G37" s="387" t="str">
        <f>'11.F&amp;V Crop Production details'!F106</f>
        <v>  -   </v>
      </c>
      <c r="H37" s="387" t="str">
        <f>'11.F&amp;V Crop Production details'!G106</f>
        <v>  -   </v>
      </c>
      <c r="I37" s="387" t="str">
        <f>'11.F&amp;V Crop Production details'!H106</f>
        <v>  -   </v>
      </c>
    </row>
    <row r="38" ht="14.25" customHeight="1">
      <c r="A38" s="73" t="str">
        <f>'11.F&amp;V Crop Production details'!A107</f>
        <v/>
      </c>
      <c r="B38" s="365"/>
      <c r="C38" s="387" t="str">
        <f>'11.F&amp;V Crop Production details'!B107</f>
        <v>  -   </v>
      </c>
      <c r="D38" s="387" t="str">
        <f>'11.F&amp;V Crop Production details'!C107</f>
        <v>  -   </v>
      </c>
      <c r="E38" s="387" t="str">
        <f>'11.F&amp;V Crop Production details'!D107</f>
        <v>  -   </v>
      </c>
      <c r="F38" s="387" t="str">
        <f>'11.F&amp;V Crop Production details'!E107</f>
        <v>  -   </v>
      </c>
      <c r="G38" s="387" t="str">
        <f>'11.F&amp;V Crop Production details'!F107</f>
        <v>  -   </v>
      </c>
      <c r="H38" s="387" t="str">
        <f>'11.F&amp;V Crop Production details'!G107</f>
        <v>  -   </v>
      </c>
      <c r="I38" s="387" t="str">
        <f>'11.F&amp;V Crop Production details'!H107</f>
        <v>  -   </v>
      </c>
    </row>
    <row r="39" ht="14.25" customHeight="1">
      <c r="A39" s="73" t="str">
        <f>'11.F&amp;V Crop Production details'!A108</f>
        <v/>
      </c>
      <c r="B39" s="365"/>
      <c r="C39" s="387" t="str">
        <f>'11.F&amp;V Crop Production details'!B108</f>
        <v>  -   </v>
      </c>
      <c r="D39" s="387" t="str">
        <f>'11.F&amp;V Crop Production details'!C108</f>
        <v>  -   </v>
      </c>
      <c r="E39" s="387" t="str">
        <f>'11.F&amp;V Crop Production details'!D108</f>
        <v>  -   </v>
      </c>
      <c r="F39" s="387" t="str">
        <f>'11.F&amp;V Crop Production details'!E108</f>
        <v>  -   </v>
      </c>
      <c r="G39" s="387" t="str">
        <f>'11.F&amp;V Crop Production details'!F108</f>
        <v>  -   </v>
      </c>
      <c r="H39" s="387" t="str">
        <f>'11.F&amp;V Crop Production details'!G108</f>
        <v>  -   </v>
      </c>
      <c r="I39" s="387" t="str">
        <f>'11.F&amp;V Crop Production details'!H108</f>
        <v>  -   </v>
      </c>
    </row>
    <row r="40" ht="14.25" customHeight="1">
      <c r="A40" s="73" t="str">
        <f>'11.F&amp;V Crop Production details'!A109</f>
        <v/>
      </c>
      <c r="B40" s="365"/>
      <c r="C40" s="387" t="str">
        <f>'11.F&amp;V Crop Production details'!B109</f>
        <v>  -   </v>
      </c>
      <c r="D40" s="387" t="str">
        <f>'11.F&amp;V Crop Production details'!C109</f>
        <v>  -   </v>
      </c>
      <c r="E40" s="387" t="str">
        <f>'11.F&amp;V Crop Production details'!D109</f>
        <v>  -   </v>
      </c>
      <c r="F40" s="387" t="str">
        <f>'11.F&amp;V Crop Production details'!E109</f>
        <v>  -   </v>
      </c>
      <c r="G40" s="387" t="str">
        <f>'11.F&amp;V Crop Production details'!F109</f>
        <v>  -   </v>
      </c>
      <c r="H40" s="387" t="str">
        <f>'11.F&amp;V Crop Production details'!G109</f>
        <v>  -   </v>
      </c>
      <c r="I40" s="387" t="str">
        <f>'11.F&amp;V Crop Production details'!H109</f>
        <v>  -   </v>
      </c>
    </row>
    <row r="41" ht="14.25" customHeight="1">
      <c r="A41" s="73" t="str">
        <f>'11.F&amp;V Crop Production details'!A110</f>
        <v/>
      </c>
      <c r="B41" s="365"/>
      <c r="C41" s="387" t="str">
        <f>'11.F&amp;V Crop Production details'!B110</f>
        <v>  -   </v>
      </c>
      <c r="D41" s="387" t="str">
        <f>'11.F&amp;V Crop Production details'!C110</f>
        <v>  -   </v>
      </c>
      <c r="E41" s="387" t="str">
        <f>'11.F&amp;V Crop Production details'!D110</f>
        <v>  -   </v>
      </c>
      <c r="F41" s="387" t="str">
        <f>'11.F&amp;V Crop Production details'!E110</f>
        <v>  -   </v>
      </c>
      <c r="G41" s="387" t="str">
        <f>'11.F&amp;V Crop Production details'!F110</f>
        <v>  -   </v>
      </c>
      <c r="H41" s="387" t="str">
        <f>'11.F&amp;V Crop Production details'!G110</f>
        <v>  -   </v>
      </c>
      <c r="I41" s="387" t="str">
        <f>'11.F&amp;V Crop Production details'!H110</f>
        <v>  -   </v>
      </c>
    </row>
    <row r="42" ht="14.25" customHeight="1">
      <c r="A42" s="73" t="str">
        <f>'11.F&amp;V Crop Production details'!A111</f>
        <v>Onion</v>
      </c>
      <c r="B42" s="365"/>
      <c r="C42" s="387" t="str">
        <f>'11.F&amp;V Crop Production details'!B111</f>
        <v>  -   </v>
      </c>
      <c r="D42" s="387" t="str">
        <f>'11.F&amp;V Crop Production details'!C111</f>
        <v>  -   </v>
      </c>
      <c r="E42" s="387" t="str">
        <f>'11.F&amp;V Crop Production details'!D111</f>
        <v>  -   </v>
      </c>
      <c r="F42" s="387" t="str">
        <f>'11.F&amp;V Crop Production details'!E111</f>
        <v>  -   </v>
      </c>
      <c r="G42" s="387" t="str">
        <f>'11.F&amp;V Crop Production details'!F111</f>
        <v>  -   </v>
      </c>
      <c r="H42" s="387" t="str">
        <f>'11.F&amp;V Crop Production details'!G111</f>
        <v>  -   </v>
      </c>
      <c r="I42" s="387" t="str">
        <f>'11.F&amp;V Crop Production details'!H111</f>
        <v>  -   </v>
      </c>
    </row>
    <row r="43" ht="14.25" customHeight="1">
      <c r="A43" s="73" t="str">
        <f>'11.F&amp;V Crop Production details'!A112</f>
        <v>Tomato</v>
      </c>
      <c r="B43" s="365"/>
      <c r="C43" s="387" t="str">
        <f>'11.F&amp;V Crop Production details'!B112</f>
        <v>  -   </v>
      </c>
      <c r="D43" s="387" t="str">
        <f>'11.F&amp;V Crop Production details'!C112</f>
        <v>  -   </v>
      </c>
      <c r="E43" s="387" t="str">
        <f>'11.F&amp;V Crop Production details'!D112</f>
        <v>  -   </v>
      </c>
      <c r="F43" s="387" t="str">
        <f>'11.F&amp;V Crop Production details'!E112</f>
        <v>  -   </v>
      </c>
      <c r="G43" s="387" t="str">
        <f>'11.F&amp;V Crop Production details'!F112</f>
        <v>  -   </v>
      </c>
      <c r="H43" s="387" t="str">
        <f>'11.F&amp;V Crop Production details'!G112</f>
        <v>  -   </v>
      </c>
      <c r="I43" s="387" t="str">
        <f>'11.F&amp;V Crop Production details'!H112</f>
        <v>  -   </v>
      </c>
    </row>
    <row r="44" ht="14.25" customHeight="1">
      <c r="A44" s="73" t="str">
        <f>'11.F&amp;V Crop Production details'!A113</f>
        <v>Okra</v>
      </c>
      <c r="B44" s="365"/>
      <c r="C44" s="387" t="str">
        <f>'11.F&amp;V Crop Production details'!B113</f>
        <v>  -   </v>
      </c>
      <c r="D44" s="387" t="str">
        <f>'11.F&amp;V Crop Production details'!C113</f>
        <v>  -   </v>
      </c>
      <c r="E44" s="387" t="str">
        <f>'11.F&amp;V Crop Production details'!D113</f>
        <v>  -   </v>
      </c>
      <c r="F44" s="387" t="str">
        <f>'11.F&amp;V Crop Production details'!E113</f>
        <v>  -   </v>
      </c>
      <c r="G44" s="387" t="str">
        <f>'11.F&amp;V Crop Production details'!F113</f>
        <v>  -   </v>
      </c>
      <c r="H44" s="387" t="str">
        <f>'11.F&amp;V Crop Production details'!G113</f>
        <v>  -   </v>
      </c>
      <c r="I44" s="387" t="str">
        <f>'11.F&amp;V Crop Production details'!H113</f>
        <v>  -   </v>
      </c>
    </row>
    <row r="45" ht="14.25" customHeight="1">
      <c r="A45" s="73" t="str">
        <f>'11.F&amp;V Crop Production details'!A114</f>
        <v>Chilli</v>
      </c>
      <c r="B45" s="365"/>
      <c r="C45" s="387" t="str">
        <f>'11.F&amp;V Crop Production details'!B114</f>
        <v>  -   </v>
      </c>
      <c r="D45" s="387" t="str">
        <f>'11.F&amp;V Crop Production details'!C114</f>
        <v>  -   </v>
      </c>
      <c r="E45" s="387" t="str">
        <f>'11.F&amp;V Crop Production details'!D114</f>
        <v>  -   </v>
      </c>
      <c r="F45" s="387" t="str">
        <f>'11.F&amp;V Crop Production details'!E114</f>
        <v>  -   </v>
      </c>
      <c r="G45" s="387" t="str">
        <f>'11.F&amp;V Crop Production details'!F114</f>
        <v>  -   </v>
      </c>
      <c r="H45" s="387" t="str">
        <f>'11.F&amp;V Crop Production details'!G114</f>
        <v>  -   </v>
      </c>
      <c r="I45" s="387" t="str">
        <f>'11.F&amp;V Crop Production details'!H114</f>
        <v>  -   </v>
      </c>
    </row>
    <row r="46" ht="14.25" customHeight="1">
      <c r="A46" s="73" t="str">
        <f>'11.F&amp;V Crop Production details'!A115</f>
        <v>Brinjal</v>
      </c>
      <c r="B46" s="365"/>
      <c r="C46" s="387" t="str">
        <f>'11.F&amp;V Crop Production details'!B115</f>
        <v>  -   </v>
      </c>
      <c r="D46" s="387" t="str">
        <f>'11.F&amp;V Crop Production details'!C115</f>
        <v>  -   </v>
      </c>
      <c r="E46" s="387" t="str">
        <f>'11.F&amp;V Crop Production details'!D115</f>
        <v>  -   </v>
      </c>
      <c r="F46" s="387" t="str">
        <f>'11.F&amp;V Crop Production details'!E115</f>
        <v>  -   </v>
      </c>
      <c r="G46" s="387" t="str">
        <f>'11.F&amp;V Crop Production details'!F115</f>
        <v>  -   </v>
      </c>
      <c r="H46" s="387" t="str">
        <f>'11.F&amp;V Crop Production details'!G115</f>
        <v>  -   </v>
      </c>
      <c r="I46" s="387" t="str">
        <f>'11.F&amp;V Crop Production details'!H115</f>
        <v>  -   </v>
      </c>
    </row>
    <row r="47" ht="14.25" customHeight="1">
      <c r="A47" s="73" t="str">
        <f>'11.F&amp;V Crop Production details'!A116</f>
        <v/>
      </c>
      <c r="B47" s="365"/>
      <c r="C47" s="387" t="str">
        <f>'11.F&amp;V Crop Production details'!B116</f>
        <v>  -   </v>
      </c>
      <c r="D47" s="387" t="str">
        <f>'11.F&amp;V Crop Production details'!C116</f>
        <v>  -   </v>
      </c>
      <c r="E47" s="387" t="str">
        <f>'11.F&amp;V Crop Production details'!D116</f>
        <v>  -   </v>
      </c>
      <c r="F47" s="387" t="str">
        <f>'11.F&amp;V Crop Production details'!E116</f>
        <v>  -   </v>
      </c>
      <c r="G47" s="387" t="str">
        <f>'11.F&amp;V Crop Production details'!F116</f>
        <v>  -   </v>
      </c>
      <c r="H47" s="387" t="str">
        <f>'11.F&amp;V Crop Production details'!G116</f>
        <v>  -   </v>
      </c>
      <c r="I47" s="387" t="str">
        <f>'11.F&amp;V Crop Production details'!H116</f>
        <v>  -   </v>
      </c>
    </row>
    <row r="48" ht="14.25" customHeight="1">
      <c r="A48" s="73" t="str">
        <f>'11.F&amp;V Crop Production details'!A117</f>
        <v/>
      </c>
      <c r="B48" s="365"/>
      <c r="C48" s="387" t="str">
        <f>'11.F&amp;V Crop Production details'!B117</f>
        <v>  -   </v>
      </c>
      <c r="D48" s="387" t="str">
        <f>'11.F&amp;V Crop Production details'!C117</f>
        <v>  -   </v>
      </c>
      <c r="E48" s="387" t="str">
        <f>'11.F&amp;V Crop Production details'!D117</f>
        <v>  -   </v>
      </c>
      <c r="F48" s="387" t="str">
        <f>'11.F&amp;V Crop Production details'!E117</f>
        <v>  -   </v>
      </c>
      <c r="G48" s="387" t="str">
        <f>'11.F&amp;V Crop Production details'!F117</f>
        <v>  -   </v>
      </c>
      <c r="H48" s="387" t="str">
        <f>'11.F&amp;V Crop Production details'!G117</f>
        <v>  -   </v>
      </c>
      <c r="I48" s="387" t="str">
        <f>'11.F&amp;V Crop Production details'!H117</f>
        <v>  -   </v>
      </c>
    </row>
    <row r="49" ht="14.25" customHeight="1">
      <c r="A49" s="73" t="str">
        <f>'11.F&amp;V Crop Production details'!A118</f>
        <v/>
      </c>
      <c r="B49" s="365"/>
      <c r="C49" s="387" t="str">
        <f>'11.F&amp;V Crop Production details'!B118</f>
        <v>  -   </v>
      </c>
      <c r="D49" s="387" t="str">
        <f>'11.F&amp;V Crop Production details'!C118</f>
        <v>  -   </v>
      </c>
      <c r="E49" s="387" t="str">
        <f>'11.F&amp;V Crop Production details'!D118</f>
        <v>  -   </v>
      </c>
      <c r="F49" s="387" t="str">
        <f>'11.F&amp;V Crop Production details'!E118</f>
        <v>  -   </v>
      </c>
      <c r="G49" s="387" t="str">
        <f>'11.F&amp;V Crop Production details'!F118</f>
        <v>  -   </v>
      </c>
      <c r="H49" s="387" t="str">
        <f>'11.F&amp;V Crop Production details'!G118</f>
        <v>  -   </v>
      </c>
      <c r="I49" s="387" t="str">
        <f>'11.F&amp;V Crop Production details'!H118</f>
        <v>  -   </v>
      </c>
    </row>
    <row r="50" ht="14.25" customHeight="1">
      <c r="A50" s="73" t="str">
        <f>'11.F&amp;V Crop Production details'!A119</f>
        <v/>
      </c>
      <c r="B50" s="365"/>
      <c r="C50" s="387" t="str">
        <f>'11.F&amp;V Crop Production details'!B119</f>
        <v>  -   </v>
      </c>
      <c r="D50" s="387" t="str">
        <f>'11.F&amp;V Crop Production details'!C119</f>
        <v>  -   </v>
      </c>
      <c r="E50" s="387" t="str">
        <f>'11.F&amp;V Crop Production details'!D119</f>
        <v>  -   </v>
      </c>
      <c r="F50" s="387" t="str">
        <f>'11.F&amp;V Crop Production details'!E119</f>
        <v>  -   </v>
      </c>
      <c r="G50" s="387" t="str">
        <f>'11.F&amp;V Crop Production details'!F119</f>
        <v>  -   </v>
      </c>
      <c r="H50" s="387" t="str">
        <f>'11.F&amp;V Crop Production details'!G119</f>
        <v>  -   </v>
      </c>
      <c r="I50" s="387" t="str">
        <f>'11.F&amp;V Crop Production details'!H119</f>
        <v>  -   </v>
      </c>
    </row>
    <row r="51" ht="14.25" customHeight="1">
      <c r="A51" s="73" t="str">
        <f>'11.F&amp;V Crop Production details'!A120</f>
        <v/>
      </c>
      <c r="B51" s="365"/>
      <c r="C51" s="387" t="str">
        <f>'11.F&amp;V Crop Production details'!B120</f>
        <v>  -   </v>
      </c>
      <c r="D51" s="387" t="str">
        <f>'11.F&amp;V Crop Production details'!C120</f>
        <v>  -   </v>
      </c>
      <c r="E51" s="387" t="str">
        <f>'11.F&amp;V Crop Production details'!D120</f>
        <v>  -   </v>
      </c>
      <c r="F51" s="387" t="str">
        <f>'11.F&amp;V Crop Production details'!E120</f>
        <v>  -   </v>
      </c>
      <c r="G51" s="387" t="str">
        <f>'11.F&amp;V Crop Production details'!F120</f>
        <v>  -   </v>
      </c>
      <c r="H51" s="387" t="str">
        <f>'11.F&amp;V Crop Production details'!G120</f>
        <v>  -   </v>
      </c>
      <c r="I51" s="387" t="str">
        <f>'11.F&amp;V Crop Production details'!H120</f>
        <v>  -   </v>
      </c>
    </row>
    <row r="52" ht="14.25" customHeight="1">
      <c r="A52" s="73" t="str">
        <f>'11.F&amp;V Crop Production details'!A121</f>
        <v/>
      </c>
      <c r="B52" s="365"/>
      <c r="C52" s="387" t="str">
        <f>'11.F&amp;V Crop Production details'!B121</f>
        <v>  -   </v>
      </c>
      <c r="D52" s="387" t="str">
        <f>'11.F&amp;V Crop Production details'!C121</f>
        <v>  -   </v>
      </c>
      <c r="E52" s="387" t="str">
        <f>'11.F&amp;V Crop Production details'!D121</f>
        <v>  -   </v>
      </c>
      <c r="F52" s="387" t="str">
        <f>'11.F&amp;V Crop Production details'!E121</f>
        <v>  -   </v>
      </c>
      <c r="G52" s="387" t="str">
        <f>'11.F&amp;V Crop Production details'!F121</f>
        <v>  -   </v>
      </c>
      <c r="H52" s="387" t="str">
        <f>'11.F&amp;V Crop Production details'!G121</f>
        <v>  -   </v>
      </c>
      <c r="I52" s="387" t="str">
        <f>'11.F&amp;V Crop Production details'!H121</f>
        <v>  -   </v>
      </c>
    </row>
    <row r="53" ht="14.25" customHeight="1">
      <c r="A53" s="73" t="str">
        <f>'11.F&amp;V Crop Production details'!A122</f>
        <v/>
      </c>
      <c r="B53" s="365"/>
      <c r="C53" s="387" t="str">
        <f>'11.F&amp;V Crop Production details'!B122</f>
        <v>  -   </v>
      </c>
      <c r="D53" s="387" t="str">
        <f>'11.F&amp;V Crop Production details'!C122</f>
        <v>  -   </v>
      </c>
      <c r="E53" s="387" t="str">
        <f>'11.F&amp;V Crop Production details'!D122</f>
        <v>  -   </v>
      </c>
      <c r="F53" s="387" t="str">
        <f>'11.F&amp;V Crop Production details'!E122</f>
        <v>  -   </v>
      </c>
      <c r="G53" s="387" t="str">
        <f>'11.F&amp;V Crop Production details'!F122</f>
        <v>  -   </v>
      </c>
      <c r="H53" s="387" t="str">
        <f>'11.F&amp;V Crop Production details'!G122</f>
        <v>  -   </v>
      </c>
      <c r="I53" s="387" t="str">
        <f>'11.F&amp;V Crop Production details'!H122</f>
        <v>  -   </v>
      </c>
    </row>
    <row r="54" ht="14.25" customHeight="1">
      <c r="A54" s="73" t="str">
        <f>'11.F&amp;V Crop Production details'!A123</f>
        <v>Pomegranate</v>
      </c>
      <c r="B54" s="365"/>
      <c r="C54" s="387" t="str">
        <f>'11.F&amp;V Crop Production details'!B123</f>
        <v>  -   </v>
      </c>
      <c r="D54" s="387" t="str">
        <f>'11.F&amp;V Crop Production details'!C123</f>
        <v>  -   </v>
      </c>
      <c r="E54" s="387" t="str">
        <f>'11.F&amp;V Crop Production details'!D123</f>
        <v>  -   </v>
      </c>
      <c r="F54" s="387" t="str">
        <f>'11.F&amp;V Crop Production details'!E123</f>
        <v>  -   </v>
      </c>
      <c r="G54" s="387" t="str">
        <f>'11.F&amp;V Crop Production details'!F123</f>
        <v>  -   </v>
      </c>
      <c r="H54" s="387" t="str">
        <f>'11.F&amp;V Crop Production details'!G123</f>
        <v>  -   </v>
      </c>
      <c r="I54" s="387" t="str">
        <f>'11.F&amp;V Crop Production details'!H123</f>
        <v>  -   </v>
      </c>
    </row>
    <row r="55" ht="14.25" customHeight="1">
      <c r="A55" s="73" t="str">
        <f>'11.F&amp;V Crop Production details'!A124</f>
        <v>Custard Apple</v>
      </c>
      <c r="B55" s="365"/>
      <c r="C55" s="387" t="str">
        <f>'11.F&amp;V Crop Production details'!B124</f>
        <v>  -   </v>
      </c>
      <c r="D55" s="387" t="str">
        <f>'11.F&amp;V Crop Production details'!C124</f>
        <v>  -   </v>
      </c>
      <c r="E55" s="387" t="str">
        <f>'11.F&amp;V Crop Production details'!D124</f>
        <v>  -   </v>
      </c>
      <c r="F55" s="387" t="str">
        <f>'11.F&amp;V Crop Production details'!E124</f>
        <v>  -   </v>
      </c>
      <c r="G55" s="387" t="str">
        <f>'11.F&amp;V Crop Production details'!F124</f>
        <v>  -   </v>
      </c>
      <c r="H55" s="387" t="str">
        <f>'11.F&amp;V Crop Production details'!G124</f>
        <v>  -   </v>
      </c>
      <c r="I55" s="387" t="str">
        <f>'11.F&amp;V Crop Production details'!H124</f>
        <v>  -   </v>
      </c>
    </row>
    <row r="56" ht="14.25" customHeight="1">
      <c r="A56" s="73" t="str">
        <f>'11.F&amp;V Crop Production details'!A125</f>
        <v>Guava</v>
      </c>
      <c r="B56" s="365"/>
      <c r="C56" s="387" t="str">
        <f>'11.F&amp;V Crop Production details'!B125</f>
        <v>  -   </v>
      </c>
      <c r="D56" s="387" t="str">
        <f>'11.F&amp;V Crop Production details'!C125</f>
        <v>  -   </v>
      </c>
      <c r="E56" s="387" t="str">
        <f>'11.F&amp;V Crop Production details'!D125</f>
        <v>  -   </v>
      </c>
      <c r="F56" s="387" t="str">
        <f>'11.F&amp;V Crop Production details'!E125</f>
        <v>  -   </v>
      </c>
      <c r="G56" s="387" t="str">
        <f>'11.F&amp;V Crop Production details'!F125</f>
        <v>  -   </v>
      </c>
      <c r="H56" s="387" t="str">
        <f>'11.F&amp;V Crop Production details'!G125</f>
        <v>  -   </v>
      </c>
      <c r="I56" s="387" t="str">
        <f>'11.F&amp;V Crop Production details'!H125</f>
        <v>  -   </v>
      </c>
    </row>
    <row r="57" ht="14.25" customHeight="1">
      <c r="A57" s="73" t="str">
        <f>'11.F&amp;V Crop Production details'!A126</f>
        <v>Citrus</v>
      </c>
      <c r="B57" s="365"/>
      <c r="C57" s="387" t="str">
        <f>'11.F&amp;V Crop Production details'!B126</f>
        <v>  -   </v>
      </c>
      <c r="D57" s="387" t="str">
        <f>'11.F&amp;V Crop Production details'!C126</f>
        <v>  -   </v>
      </c>
      <c r="E57" s="387" t="str">
        <f>'11.F&amp;V Crop Production details'!D126</f>
        <v>  -   </v>
      </c>
      <c r="F57" s="387" t="str">
        <f>'11.F&amp;V Crop Production details'!E126</f>
        <v>  -   </v>
      </c>
      <c r="G57" s="387" t="str">
        <f>'11.F&amp;V Crop Production details'!F126</f>
        <v>  -   </v>
      </c>
      <c r="H57" s="387" t="str">
        <f>'11.F&amp;V Crop Production details'!G126</f>
        <v>  -   </v>
      </c>
      <c r="I57" s="387" t="str">
        <f>'11.F&amp;V Crop Production details'!H126</f>
        <v>  -   </v>
      </c>
    </row>
    <row r="58" ht="14.25" customHeight="1">
      <c r="A58" s="73"/>
      <c r="B58" s="365"/>
      <c r="C58" s="365"/>
      <c r="D58" s="365"/>
      <c r="E58" s="365"/>
      <c r="F58" s="365"/>
      <c r="G58" s="365"/>
      <c r="H58" s="365"/>
      <c r="I58" s="365"/>
    </row>
    <row r="59" ht="14.25" customHeight="1">
      <c r="A59" s="117" t="s">
        <v>731</v>
      </c>
      <c r="B59" s="73"/>
      <c r="C59" s="73"/>
      <c r="D59" s="73"/>
      <c r="E59" s="73"/>
      <c r="F59" s="73"/>
      <c r="G59" s="73"/>
      <c r="H59" s="73"/>
      <c r="I59" s="73"/>
    </row>
    <row r="60" ht="40.5" customHeight="1">
      <c r="A60" s="117" t="s">
        <v>732</v>
      </c>
      <c r="B60" s="63" t="s">
        <v>733</v>
      </c>
      <c r="C60" s="73"/>
      <c r="D60" s="73"/>
      <c r="E60" s="73"/>
      <c r="F60" s="73"/>
      <c r="G60" s="73"/>
      <c r="H60" s="73"/>
      <c r="I60" s="73"/>
    </row>
    <row r="61" ht="14.25" customHeight="1">
      <c r="A61" s="117" t="str">
        <f t="shared" ref="A61:A110" si="1">A8</f>
        <v>Kharif Crops</v>
      </c>
      <c r="B61" s="73"/>
      <c r="C61" s="73"/>
      <c r="D61" s="73"/>
      <c r="E61" s="73"/>
      <c r="F61" s="73"/>
      <c r="G61" s="73"/>
      <c r="H61" s="73"/>
      <c r="I61" s="73"/>
    </row>
    <row r="62" ht="14.25" customHeight="1">
      <c r="A62" s="73" t="str">
        <f t="shared" si="1"/>
        <v>Soybean</v>
      </c>
      <c r="B62" s="75">
        <v>40.0</v>
      </c>
      <c r="C62" s="365" t="str">
        <f t="shared" ref="C62:I62" si="2">$B62*C9</f>
        <v>  -   </v>
      </c>
      <c r="D62" s="365" t="str">
        <f t="shared" si="2"/>
        <v>  -   </v>
      </c>
      <c r="E62" s="365" t="str">
        <f t="shared" si="2"/>
        <v>  -   </v>
      </c>
      <c r="F62" s="365" t="str">
        <f t="shared" si="2"/>
        <v>  -   </v>
      </c>
      <c r="G62" s="365" t="str">
        <f t="shared" si="2"/>
        <v>  -   </v>
      </c>
      <c r="H62" s="365" t="str">
        <f t="shared" si="2"/>
        <v>  -   </v>
      </c>
      <c r="I62" s="365" t="str">
        <f t="shared" si="2"/>
        <v>  -   </v>
      </c>
    </row>
    <row r="63" ht="14.25" customHeight="1">
      <c r="A63" s="73" t="str">
        <f t="shared" si="1"/>
        <v>Red Gram/Tur</v>
      </c>
      <c r="B63" s="75">
        <v>5.0</v>
      </c>
      <c r="C63" s="365" t="str">
        <f t="shared" ref="C63:C69" si="4">$B63*C10</f>
        <v>  -   </v>
      </c>
      <c r="D63" s="365" t="str">
        <f t="shared" ref="D63:I63" si="3">$B$63*D10</f>
        <v>  -   </v>
      </c>
      <c r="E63" s="365" t="str">
        <f t="shared" si="3"/>
        <v>  -   </v>
      </c>
      <c r="F63" s="365" t="str">
        <f t="shared" si="3"/>
        <v>  -   </v>
      </c>
      <c r="G63" s="365" t="str">
        <f t="shared" si="3"/>
        <v>  -   </v>
      </c>
      <c r="H63" s="365" t="str">
        <f t="shared" si="3"/>
        <v>  -   </v>
      </c>
      <c r="I63" s="365" t="str">
        <f t="shared" si="3"/>
        <v>  -   </v>
      </c>
    </row>
    <row r="64" ht="14.25" customHeight="1">
      <c r="A64" s="73" t="str">
        <f t="shared" si="1"/>
        <v>Paddy/Rice</v>
      </c>
      <c r="B64" s="75">
        <v>15.0</v>
      </c>
      <c r="C64" s="365" t="str">
        <f t="shared" si="4"/>
        <v>  -   </v>
      </c>
      <c r="D64" s="365" t="str">
        <f t="shared" ref="D64:I64" si="5">$B$64*D11</f>
        <v>  -   </v>
      </c>
      <c r="E64" s="365" t="str">
        <f t="shared" si="5"/>
        <v>  -   </v>
      </c>
      <c r="F64" s="365" t="str">
        <f t="shared" si="5"/>
        <v>  -   </v>
      </c>
      <c r="G64" s="365" t="str">
        <f t="shared" si="5"/>
        <v>  -   </v>
      </c>
      <c r="H64" s="365" t="str">
        <f t="shared" si="5"/>
        <v>  -   </v>
      </c>
      <c r="I64" s="365" t="str">
        <f t="shared" si="5"/>
        <v>  -   </v>
      </c>
    </row>
    <row r="65" ht="14.25" customHeight="1">
      <c r="A65" s="73" t="str">
        <f t="shared" si="1"/>
        <v>Green Gram/ Moong</v>
      </c>
      <c r="B65" s="75">
        <v>15.0</v>
      </c>
      <c r="C65" s="365" t="str">
        <f t="shared" si="4"/>
        <v>  -   </v>
      </c>
      <c r="D65" s="365" t="str">
        <f t="shared" ref="D65:I65" si="6">$B65*D12</f>
        <v>  -   </v>
      </c>
      <c r="E65" s="365" t="str">
        <f t="shared" si="6"/>
        <v>  -   </v>
      </c>
      <c r="F65" s="365" t="str">
        <f t="shared" si="6"/>
        <v>  -   </v>
      </c>
      <c r="G65" s="365" t="str">
        <f t="shared" si="6"/>
        <v>  -   </v>
      </c>
      <c r="H65" s="365" t="str">
        <f t="shared" si="6"/>
        <v>  -   </v>
      </c>
      <c r="I65" s="365" t="str">
        <f t="shared" si="6"/>
        <v>  -   </v>
      </c>
    </row>
    <row r="66" ht="14.25" customHeight="1">
      <c r="A66" s="73" t="str">
        <f t="shared" si="1"/>
        <v>Maize</v>
      </c>
      <c r="B66" s="75">
        <v>25.0</v>
      </c>
      <c r="C66" s="365" t="str">
        <f t="shared" si="4"/>
        <v>  -   </v>
      </c>
      <c r="D66" s="365" t="str">
        <f t="shared" ref="D66:I66" si="7">$B66*D13</f>
        <v>  -   </v>
      </c>
      <c r="E66" s="365" t="str">
        <f t="shared" si="7"/>
        <v>  -   </v>
      </c>
      <c r="F66" s="365" t="str">
        <f t="shared" si="7"/>
        <v>  -   </v>
      </c>
      <c r="G66" s="365" t="str">
        <f t="shared" si="7"/>
        <v>  -   </v>
      </c>
      <c r="H66" s="365" t="str">
        <f t="shared" si="7"/>
        <v>  -   </v>
      </c>
      <c r="I66" s="365" t="str">
        <f t="shared" si="7"/>
        <v>  -   </v>
      </c>
    </row>
    <row r="67" ht="14.25" customHeight="1">
      <c r="A67" s="73" t="str">
        <f t="shared" si="1"/>
        <v>Black Gram/Udid</v>
      </c>
      <c r="B67" s="75">
        <v>15.0</v>
      </c>
      <c r="C67" s="365" t="str">
        <f t="shared" si="4"/>
        <v>  -   </v>
      </c>
      <c r="D67" s="365" t="str">
        <f t="shared" ref="D67:I67" si="8">$B67*D14</f>
        <v>  -   </v>
      </c>
      <c r="E67" s="365" t="str">
        <f t="shared" si="8"/>
        <v>  -   </v>
      </c>
      <c r="F67" s="365" t="str">
        <f t="shared" si="8"/>
        <v>  -   </v>
      </c>
      <c r="G67" s="365" t="str">
        <f t="shared" si="8"/>
        <v>  -   </v>
      </c>
      <c r="H67" s="365" t="str">
        <f t="shared" si="8"/>
        <v>  -   </v>
      </c>
      <c r="I67" s="365" t="str">
        <f t="shared" si="8"/>
        <v>  -   </v>
      </c>
    </row>
    <row r="68" ht="14.25" customHeight="1">
      <c r="A68" s="73" t="str">
        <f t="shared" si="1"/>
        <v>Bajra</v>
      </c>
      <c r="B68" s="75">
        <v>5.0</v>
      </c>
      <c r="C68" s="365" t="str">
        <f t="shared" si="4"/>
        <v>  -   </v>
      </c>
      <c r="D68" s="365" t="str">
        <f t="shared" ref="D68:I68" si="9">$B68*D15</f>
        <v>  -   </v>
      </c>
      <c r="E68" s="365" t="str">
        <f t="shared" si="9"/>
        <v>  -   </v>
      </c>
      <c r="F68" s="365" t="str">
        <f t="shared" si="9"/>
        <v>  -   </v>
      </c>
      <c r="G68" s="365" t="str">
        <f t="shared" si="9"/>
        <v>  -   </v>
      </c>
      <c r="H68" s="365" t="str">
        <f t="shared" si="9"/>
        <v>  -   </v>
      </c>
      <c r="I68" s="365" t="str">
        <f t="shared" si="9"/>
        <v>  -   </v>
      </c>
    </row>
    <row r="69" ht="14.25" customHeight="1">
      <c r="A69" s="73" t="str">
        <f t="shared" si="1"/>
        <v>Jawar</v>
      </c>
      <c r="B69" s="75">
        <v>5.0</v>
      </c>
      <c r="C69" s="365" t="str">
        <f t="shared" si="4"/>
        <v>  -   </v>
      </c>
      <c r="D69" s="365" t="str">
        <f t="shared" ref="D69:I69" si="10">$B69*D16</f>
        <v>  -   </v>
      </c>
      <c r="E69" s="365" t="str">
        <f t="shared" si="10"/>
        <v>  -   </v>
      </c>
      <c r="F69" s="365" t="str">
        <f t="shared" si="10"/>
        <v>  -   </v>
      </c>
      <c r="G69" s="365" t="str">
        <f t="shared" si="10"/>
        <v>  -   </v>
      </c>
      <c r="H69" s="365" t="str">
        <f t="shared" si="10"/>
        <v>  -   </v>
      </c>
      <c r="I69" s="365" t="str">
        <f t="shared" si="10"/>
        <v>  -   </v>
      </c>
    </row>
    <row r="70" ht="14.25" customHeight="1">
      <c r="A70" s="117" t="str">
        <f t="shared" si="1"/>
        <v>Rabi Crop</v>
      </c>
      <c r="B70" s="75"/>
      <c r="C70" s="365"/>
      <c r="D70" s="365"/>
      <c r="E70" s="365"/>
      <c r="F70" s="365"/>
      <c r="G70" s="365"/>
      <c r="H70" s="365"/>
      <c r="I70" s="365"/>
    </row>
    <row r="71" ht="14.25" customHeight="1">
      <c r="A71" s="73" t="str">
        <f t="shared" si="1"/>
        <v>Wheat</v>
      </c>
      <c r="B71" s="75">
        <v>20.0</v>
      </c>
      <c r="C71" s="365" t="str">
        <f t="shared" ref="C71:I71" si="11">$B71*C18</f>
        <v>  -   </v>
      </c>
      <c r="D71" s="365" t="str">
        <f t="shared" si="11"/>
        <v>  -   </v>
      </c>
      <c r="E71" s="365" t="str">
        <f t="shared" si="11"/>
        <v>  -   </v>
      </c>
      <c r="F71" s="365" t="str">
        <f t="shared" si="11"/>
        <v>  -   </v>
      </c>
      <c r="G71" s="365" t="str">
        <f t="shared" si="11"/>
        <v>  -   </v>
      </c>
      <c r="H71" s="365" t="str">
        <f t="shared" si="11"/>
        <v>  -   </v>
      </c>
      <c r="I71" s="365" t="str">
        <f t="shared" si="11"/>
        <v>  -   </v>
      </c>
    </row>
    <row r="72" ht="14.25" customHeight="1">
      <c r="A72" s="73" t="str">
        <f t="shared" si="1"/>
        <v>Bengal Gram/Channa</v>
      </c>
      <c r="B72" s="75">
        <v>25.0</v>
      </c>
      <c r="C72" s="365" t="str">
        <f t="shared" ref="C72:I72" si="12">$B72*C19</f>
        <v>  -   </v>
      </c>
      <c r="D72" s="365" t="str">
        <f t="shared" si="12"/>
        <v>  -   </v>
      </c>
      <c r="E72" s="365" t="str">
        <f t="shared" si="12"/>
        <v>  -   </v>
      </c>
      <c r="F72" s="365" t="str">
        <f t="shared" si="12"/>
        <v>  -   </v>
      </c>
      <c r="G72" s="365" t="str">
        <f t="shared" si="12"/>
        <v>  -   </v>
      </c>
      <c r="H72" s="365" t="str">
        <f t="shared" si="12"/>
        <v>  -   </v>
      </c>
      <c r="I72" s="365" t="str">
        <f t="shared" si="12"/>
        <v>  -   </v>
      </c>
    </row>
    <row r="73" ht="14.25" customHeight="1">
      <c r="A73" s="73" t="str">
        <f t="shared" si="1"/>
        <v>Jawar</v>
      </c>
      <c r="B73" s="75">
        <v>5.0</v>
      </c>
      <c r="C73" s="365" t="str">
        <f t="shared" ref="C73:I73" si="13">$B73*C20</f>
        <v>  -   </v>
      </c>
      <c r="D73" s="365" t="str">
        <f t="shared" si="13"/>
        <v>  -   </v>
      </c>
      <c r="E73" s="365" t="str">
        <f t="shared" si="13"/>
        <v>  -   </v>
      </c>
      <c r="F73" s="365" t="str">
        <f t="shared" si="13"/>
        <v>  -   </v>
      </c>
      <c r="G73" s="365" t="str">
        <f t="shared" si="13"/>
        <v>  -   </v>
      </c>
      <c r="H73" s="365" t="str">
        <f t="shared" si="13"/>
        <v>  -   </v>
      </c>
      <c r="I73" s="365" t="str">
        <f t="shared" si="13"/>
        <v>  -   </v>
      </c>
    </row>
    <row r="74" ht="14.25" customHeight="1">
      <c r="A74" s="73" t="str">
        <f t="shared" si="1"/>
        <v>Maize</v>
      </c>
      <c r="B74" s="75">
        <v>20.0</v>
      </c>
      <c r="C74" s="365" t="str">
        <f t="shared" ref="C74:I74" si="14">$B74*C21</f>
        <v>  -   </v>
      </c>
      <c r="D74" s="365" t="str">
        <f t="shared" si="14"/>
        <v>  -   </v>
      </c>
      <c r="E74" s="365" t="str">
        <f t="shared" si="14"/>
        <v>  -   </v>
      </c>
      <c r="F74" s="365" t="str">
        <f t="shared" si="14"/>
        <v>  -   </v>
      </c>
      <c r="G74" s="365" t="str">
        <f t="shared" si="14"/>
        <v>  -   </v>
      </c>
      <c r="H74" s="365" t="str">
        <f t="shared" si="14"/>
        <v>  -   </v>
      </c>
      <c r="I74" s="365" t="str">
        <f t="shared" si="14"/>
        <v>  -   </v>
      </c>
    </row>
    <row r="75" ht="14.25" customHeight="1">
      <c r="A75" s="73" t="str">
        <f t="shared" si="1"/>
        <v>Safflower</v>
      </c>
      <c r="B75" s="75"/>
      <c r="C75" s="365" t="str">
        <f t="shared" ref="C75:I75" si="15">$B75*C22</f>
        <v>  -   </v>
      </c>
      <c r="D75" s="365" t="str">
        <f t="shared" si="15"/>
        <v>  -   </v>
      </c>
      <c r="E75" s="365" t="str">
        <f t="shared" si="15"/>
        <v>  -   </v>
      </c>
      <c r="F75" s="365" t="str">
        <f t="shared" si="15"/>
        <v>  -   </v>
      </c>
      <c r="G75" s="365" t="str">
        <f t="shared" si="15"/>
        <v>  -   </v>
      </c>
      <c r="H75" s="365" t="str">
        <f t="shared" si="15"/>
        <v>  -   </v>
      </c>
      <c r="I75" s="365" t="str">
        <f t="shared" si="15"/>
        <v>  -   </v>
      </c>
    </row>
    <row r="76" ht="14.25" customHeight="1">
      <c r="A76" s="73" t="str">
        <f t="shared" si="1"/>
        <v/>
      </c>
      <c r="B76" s="75"/>
      <c r="C76" s="365" t="str">
        <f t="shared" ref="C76:I76" si="16">$B76*C23</f>
        <v>  -   </v>
      </c>
      <c r="D76" s="365" t="str">
        <f t="shared" si="16"/>
        <v>  -   </v>
      </c>
      <c r="E76" s="365" t="str">
        <f t="shared" si="16"/>
        <v>  -   </v>
      </c>
      <c r="F76" s="365" t="str">
        <f t="shared" si="16"/>
        <v>  -   </v>
      </c>
      <c r="G76" s="365" t="str">
        <f t="shared" si="16"/>
        <v>  -   </v>
      </c>
      <c r="H76" s="365" t="str">
        <f t="shared" si="16"/>
        <v>  -   </v>
      </c>
      <c r="I76" s="365" t="str">
        <f t="shared" si="16"/>
        <v>  -   </v>
      </c>
    </row>
    <row r="77" ht="14.25" customHeight="1">
      <c r="A77" s="73" t="str">
        <f t="shared" si="1"/>
        <v/>
      </c>
      <c r="B77" s="75"/>
      <c r="C77" s="365" t="str">
        <f t="shared" ref="C77:I77" si="17">$B77*C24</f>
        <v>  -   </v>
      </c>
      <c r="D77" s="365" t="str">
        <f t="shared" si="17"/>
        <v>  -   </v>
      </c>
      <c r="E77" s="365" t="str">
        <f t="shared" si="17"/>
        <v>  -   </v>
      </c>
      <c r="F77" s="365" t="str">
        <f t="shared" si="17"/>
        <v>  -   </v>
      </c>
      <c r="G77" s="365" t="str">
        <f t="shared" si="17"/>
        <v>  -   </v>
      </c>
      <c r="H77" s="365" t="str">
        <f t="shared" si="17"/>
        <v>  -   </v>
      </c>
      <c r="I77" s="365" t="str">
        <f t="shared" si="17"/>
        <v>  -   </v>
      </c>
    </row>
    <row r="78" ht="14.25" customHeight="1">
      <c r="A78" s="73" t="str">
        <f t="shared" si="1"/>
        <v/>
      </c>
      <c r="B78" s="75"/>
      <c r="C78" s="365" t="str">
        <f t="shared" ref="C78:I78" si="18">$B78*C25</f>
        <v>  -   </v>
      </c>
      <c r="D78" s="365" t="str">
        <f t="shared" si="18"/>
        <v>  -   </v>
      </c>
      <c r="E78" s="365" t="str">
        <f t="shared" si="18"/>
        <v>  -   </v>
      </c>
      <c r="F78" s="365" t="str">
        <f t="shared" si="18"/>
        <v>  -   </v>
      </c>
      <c r="G78" s="365" t="str">
        <f t="shared" si="18"/>
        <v>  -   </v>
      </c>
      <c r="H78" s="365" t="str">
        <f t="shared" si="18"/>
        <v>  -   </v>
      </c>
      <c r="I78" s="365" t="str">
        <f t="shared" si="18"/>
        <v>  -   </v>
      </c>
    </row>
    <row r="79" ht="14.25" customHeight="1">
      <c r="A79" s="117" t="str">
        <f t="shared" si="1"/>
        <v>Summer</v>
      </c>
      <c r="B79" s="75"/>
      <c r="C79" s="365"/>
      <c r="D79" s="365"/>
      <c r="E79" s="365"/>
      <c r="F79" s="365"/>
      <c r="G79" s="365"/>
      <c r="H79" s="365"/>
      <c r="I79" s="365"/>
    </row>
    <row r="80" ht="14.25" customHeight="1">
      <c r="A80" s="73" t="str">
        <f t="shared" si="1"/>
        <v>Groundnut</v>
      </c>
      <c r="B80" s="75"/>
      <c r="C80" s="365" t="str">
        <f t="shared" ref="C80:I80" si="19">$B80*C27</f>
        <v>  -   </v>
      </c>
      <c r="D80" s="365" t="str">
        <f t="shared" si="19"/>
        <v>  -   </v>
      </c>
      <c r="E80" s="365" t="str">
        <f t="shared" si="19"/>
        <v>  -   </v>
      </c>
      <c r="F80" s="365" t="str">
        <f t="shared" si="19"/>
        <v>  -   </v>
      </c>
      <c r="G80" s="365" t="str">
        <f t="shared" si="19"/>
        <v>  -   </v>
      </c>
      <c r="H80" s="365" t="str">
        <f t="shared" si="19"/>
        <v>  -   </v>
      </c>
      <c r="I80" s="365" t="str">
        <f t="shared" si="19"/>
        <v>  -   </v>
      </c>
    </row>
    <row r="81" ht="14.25" customHeight="1">
      <c r="A81" s="73" t="str">
        <f t="shared" si="1"/>
        <v/>
      </c>
      <c r="B81" s="75"/>
      <c r="C81" s="365" t="str">
        <f t="shared" ref="C81:I81" si="20">$B81*C28</f>
        <v>  -   </v>
      </c>
      <c r="D81" s="365" t="str">
        <f t="shared" si="20"/>
        <v>  -   </v>
      </c>
      <c r="E81" s="365" t="str">
        <f t="shared" si="20"/>
        <v>  -   </v>
      </c>
      <c r="F81" s="365" t="str">
        <f t="shared" si="20"/>
        <v>  -   </v>
      </c>
      <c r="G81" s="365" t="str">
        <f t="shared" si="20"/>
        <v>  -   </v>
      </c>
      <c r="H81" s="365" t="str">
        <f t="shared" si="20"/>
        <v>  -   </v>
      </c>
      <c r="I81" s="365" t="str">
        <f t="shared" si="20"/>
        <v>  -   </v>
      </c>
    </row>
    <row r="82" ht="14.25" customHeight="1">
      <c r="A82" s="73" t="str">
        <f t="shared" si="1"/>
        <v/>
      </c>
      <c r="B82" s="75"/>
      <c r="C82" s="365" t="str">
        <f t="shared" ref="C82:I82" si="21">$B82*C29</f>
        <v>  -   </v>
      </c>
      <c r="D82" s="365" t="str">
        <f t="shared" si="21"/>
        <v>  -   </v>
      </c>
      <c r="E82" s="365" t="str">
        <f t="shared" si="21"/>
        <v>  -   </v>
      </c>
      <c r="F82" s="365" t="str">
        <f t="shared" si="21"/>
        <v>  -   </v>
      </c>
      <c r="G82" s="365" t="str">
        <f t="shared" si="21"/>
        <v>  -   </v>
      </c>
      <c r="H82" s="365" t="str">
        <f t="shared" si="21"/>
        <v>  -   </v>
      </c>
      <c r="I82" s="365" t="str">
        <f t="shared" si="21"/>
        <v>  -   </v>
      </c>
    </row>
    <row r="83" ht="14.25" customHeight="1">
      <c r="A83" s="73" t="str">
        <f t="shared" si="1"/>
        <v/>
      </c>
      <c r="B83" s="75"/>
      <c r="C83" s="365" t="str">
        <f t="shared" ref="C83:I83" si="22">$B83*C30</f>
        <v>  -   </v>
      </c>
      <c r="D83" s="365" t="str">
        <f t="shared" si="22"/>
        <v>  -   </v>
      </c>
      <c r="E83" s="365" t="str">
        <f t="shared" si="22"/>
        <v>  -   </v>
      </c>
      <c r="F83" s="365" t="str">
        <f t="shared" si="22"/>
        <v>  -   </v>
      </c>
      <c r="G83" s="365" t="str">
        <f t="shared" si="22"/>
        <v>  -   </v>
      </c>
      <c r="H83" s="365" t="str">
        <f t="shared" si="22"/>
        <v>  -   </v>
      </c>
      <c r="I83" s="365" t="str">
        <f t="shared" si="22"/>
        <v>  -   </v>
      </c>
    </row>
    <row r="84" ht="14.25" customHeight="1">
      <c r="A84" s="73" t="str">
        <f t="shared" si="1"/>
        <v/>
      </c>
      <c r="B84" s="75"/>
      <c r="C84" s="365" t="str">
        <f t="shared" ref="C84:I84" si="23">$B84*C31</f>
        <v>  -   </v>
      </c>
      <c r="D84" s="365" t="str">
        <f t="shared" si="23"/>
        <v>  -   </v>
      </c>
      <c r="E84" s="365" t="str">
        <f t="shared" si="23"/>
        <v>  -   </v>
      </c>
      <c r="F84" s="365" t="str">
        <f t="shared" si="23"/>
        <v>  -   </v>
      </c>
      <c r="G84" s="365" t="str">
        <f t="shared" si="23"/>
        <v>  -   </v>
      </c>
      <c r="H84" s="365" t="str">
        <f t="shared" si="23"/>
        <v>  -   </v>
      </c>
      <c r="I84" s="365" t="str">
        <f t="shared" si="23"/>
        <v>  -   </v>
      </c>
    </row>
    <row r="85" ht="14.25" customHeight="1">
      <c r="A85" s="117" t="str">
        <f t="shared" si="1"/>
        <v>Fruit  &amp; Vegetables Crop Production Details</v>
      </c>
      <c r="B85" s="75"/>
      <c r="C85" s="365"/>
      <c r="D85" s="365"/>
      <c r="E85" s="365"/>
      <c r="F85" s="365"/>
      <c r="G85" s="365"/>
      <c r="H85" s="365"/>
      <c r="I85" s="365"/>
    </row>
    <row r="86" ht="14.25" customHeight="1">
      <c r="A86" s="73" t="str">
        <f t="shared" si="1"/>
        <v>Onion</v>
      </c>
      <c r="B86" s="75"/>
      <c r="C86" s="365" t="str">
        <f t="shared" ref="C86:I86" si="24">$B86*C33</f>
        <v>  -   </v>
      </c>
      <c r="D86" s="365" t="str">
        <f t="shared" si="24"/>
        <v>  -   </v>
      </c>
      <c r="E86" s="365" t="str">
        <f t="shared" si="24"/>
        <v>  -   </v>
      </c>
      <c r="F86" s="365" t="str">
        <f t="shared" si="24"/>
        <v>  -   </v>
      </c>
      <c r="G86" s="365" t="str">
        <f t="shared" si="24"/>
        <v>  -   </v>
      </c>
      <c r="H86" s="365" t="str">
        <f t="shared" si="24"/>
        <v>  -   </v>
      </c>
      <c r="I86" s="365" t="str">
        <f t="shared" si="24"/>
        <v>  -   </v>
      </c>
    </row>
    <row r="87" ht="14.25" customHeight="1">
      <c r="A87" s="73" t="str">
        <f t="shared" si="1"/>
        <v>Tomato</v>
      </c>
      <c r="B87" s="75"/>
      <c r="C87" s="365" t="str">
        <f t="shared" ref="C87:I87" si="25">$B87*C34</f>
        <v>  -   </v>
      </c>
      <c r="D87" s="365" t="str">
        <f t="shared" si="25"/>
        <v>  -   </v>
      </c>
      <c r="E87" s="365" t="str">
        <f t="shared" si="25"/>
        <v>  -   </v>
      </c>
      <c r="F87" s="365" t="str">
        <f t="shared" si="25"/>
        <v>  -   </v>
      </c>
      <c r="G87" s="365" t="str">
        <f t="shared" si="25"/>
        <v>  -   </v>
      </c>
      <c r="H87" s="365" t="str">
        <f t="shared" si="25"/>
        <v>  -   </v>
      </c>
      <c r="I87" s="365" t="str">
        <f t="shared" si="25"/>
        <v>  -   </v>
      </c>
    </row>
    <row r="88" ht="14.25" customHeight="1">
      <c r="A88" s="73" t="str">
        <f t="shared" si="1"/>
        <v>Okra</v>
      </c>
      <c r="B88" s="75"/>
      <c r="C88" s="365" t="str">
        <f t="shared" ref="C88:I88" si="26">$B88*C35</f>
        <v>  -   </v>
      </c>
      <c r="D88" s="365" t="str">
        <f t="shared" si="26"/>
        <v>  -   </v>
      </c>
      <c r="E88" s="365" t="str">
        <f t="shared" si="26"/>
        <v>  -   </v>
      </c>
      <c r="F88" s="365" t="str">
        <f t="shared" si="26"/>
        <v>  -   </v>
      </c>
      <c r="G88" s="365" t="str">
        <f t="shared" si="26"/>
        <v>  -   </v>
      </c>
      <c r="H88" s="365" t="str">
        <f t="shared" si="26"/>
        <v>  -   </v>
      </c>
      <c r="I88" s="365" t="str">
        <f t="shared" si="26"/>
        <v>  -   </v>
      </c>
    </row>
    <row r="89" ht="14.25" customHeight="1">
      <c r="A89" s="73" t="str">
        <f t="shared" si="1"/>
        <v>Chilli</v>
      </c>
      <c r="B89" s="75"/>
      <c r="C89" s="365" t="str">
        <f t="shared" ref="C89:I89" si="27">$B89*C36</f>
        <v>  -   </v>
      </c>
      <c r="D89" s="365" t="str">
        <f t="shared" si="27"/>
        <v>  -   </v>
      </c>
      <c r="E89" s="365" t="str">
        <f t="shared" si="27"/>
        <v>  -   </v>
      </c>
      <c r="F89" s="365" t="str">
        <f t="shared" si="27"/>
        <v>  -   </v>
      </c>
      <c r="G89" s="365" t="str">
        <f t="shared" si="27"/>
        <v>  -   </v>
      </c>
      <c r="H89" s="365" t="str">
        <f t="shared" si="27"/>
        <v>  -   </v>
      </c>
      <c r="I89" s="365" t="str">
        <f t="shared" si="27"/>
        <v>  -   </v>
      </c>
    </row>
    <row r="90" ht="14.25" customHeight="1">
      <c r="A90" s="73" t="str">
        <f t="shared" si="1"/>
        <v>Potato</v>
      </c>
      <c r="B90" s="75"/>
      <c r="C90" s="365" t="str">
        <f t="shared" ref="C90:I90" si="28">$B90*C37</f>
        <v>  -   </v>
      </c>
      <c r="D90" s="365" t="str">
        <f t="shared" si="28"/>
        <v>  -   </v>
      </c>
      <c r="E90" s="365" t="str">
        <f t="shared" si="28"/>
        <v>  -   </v>
      </c>
      <c r="F90" s="365" t="str">
        <f t="shared" si="28"/>
        <v>  -   </v>
      </c>
      <c r="G90" s="365" t="str">
        <f t="shared" si="28"/>
        <v>  -   </v>
      </c>
      <c r="H90" s="365" t="str">
        <f t="shared" si="28"/>
        <v>  -   </v>
      </c>
      <c r="I90" s="365" t="str">
        <f t="shared" si="28"/>
        <v>  -   </v>
      </c>
    </row>
    <row r="91" ht="14.25" customHeight="1">
      <c r="A91" s="73" t="str">
        <f t="shared" si="1"/>
        <v/>
      </c>
      <c r="B91" s="75"/>
      <c r="C91" s="365" t="str">
        <f t="shared" ref="C91:I91" si="29">$B91*C38</f>
        <v>  -   </v>
      </c>
      <c r="D91" s="365" t="str">
        <f t="shared" si="29"/>
        <v>  -   </v>
      </c>
      <c r="E91" s="365" t="str">
        <f t="shared" si="29"/>
        <v>  -   </v>
      </c>
      <c r="F91" s="365" t="str">
        <f t="shared" si="29"/>
        <v>  -   </v>
      </c>
      <c r="G91" s="365" t="str">
        <f t="shared" si="29"/>
        <v>  -   </v>
      </c>
      <c r="H91" s="365" t="str">
        <f t="shared" si="29"/>
        <v>  -   </v>
      </c>
      <c r="I91" s="365" t="str">
        <f t="shared" si="29"/>
        <v>  -   </v>
      </c>
    </row>
    <row r="92" ht="14.25" customHeight="1">
      <c r="A92" s="73" t="str">
        <f t="shared" si="1"/>
        <v/>
      </c>
      <c r="B92" s="75"/>
      <c r="C92" s="365" t="str">
        <f t="shared" ref="C92:I92" si="30">$B92*C39</f>
        <v>  -   </v>
      </c>
      <c r="D92" s="365" t="str">
        <f t="shared" si="30"/>
        <v>  -   </v>
      </c>
      <c r="E92" s="365" t="str">
        <f t="shared" si="30"/>
        <v>  -   </v>
      </c>
      <c r="F92" s="365" t="str">
        <f t="shared" si="30"/>
        <v>  -   </v>
      </c>
      <c r="G92" s="365" t="str">
        <f t="shared" si="30"/>
        <v>  -   </v>
      </c>
      <c r="H92" s="365" t="str">
        <f t="shared" si="30"/>
        <v>  -   </v>
      </c>
      <c r="I92" s="365" t="str">
        <f t="shared" si="30"/>
        <v>  -   </v>
      </c>
    </row>
    <row r="93" ht="14.25" customHeight="1">
      <c r="A93" s="73" t="str">
        <f t="shared" si="1"/>
        <v/>
      </c>
      <c r="B93" s="75"/>
      <c r="C93" s="365" t="str">
        <f t="shared" ref="C93:I93" si="31">$B93*C40</f>
        <v>  -   </v>
      </c>
      <c r="D93" s="365" t="str">
        <f t="shared" si="31"/>
        <v>  -   </v>
      </c>
      <c r="E93" s="365" t="str">
        <f t="shared" si="31"/>
        <v>  -   </v>
      </c>
      <c r="F93" s="365" t="str">
        <f t="shared" si="31"/>
        <v>  -   </v>
      </c>
      <c r="G93" s="365" t="str">
        <f t="shared" si="31"/>
        <v>  -   </v>
      </c>
      <c r="H93" s="365" t="str">
        <f t="shared" si="31"/>
        <v>  -   </v>
      </c>
      <c r="I93" s="365" t="str">
        <f t="shared" si="31"/>
        <v>  -   </v>
      </c>
    </row>
    <row r="94" ht="14.25" customHeight="1">
      <c r="A94" s="73" t="str">
        <f t="shared" si="1"/>
        <v/>
      </c>
      <c r="B94" s="75"/>
      <c r="C94" s="365" t="str">
        <f t="shared" ref="C94:I94" si="32">$B94*C41</f>
        <v>  -   </v>
      </c>
      <c r="D94" s="365" t="str">
        <f t="shared" si="32"/>
        <v>  -   </v>
      </c>
      <c r="E94" s="365" t="str">
        <f t="shared" si="32"/>
        <v>  -   </v>
      </c>
      <c r="F94" s="365" t="str">
        <f t="shared" si="32"/>
        <v>  -   </v>
      </c>
      <c r="G94" s="365" t="str">
        <f t="shared" si="32"/>
        <v>  -   </v>
      </c>
      <c r="H94" s="365" t="str">
        <f t="shared" si="32"/>
        <v>  -   </v>
      </c>
      <c r="I94" s="365" t="str">
        <f t="shared" si="32"/>
        <v>  -   </v>
      </c>
    </row>
    <row r="95" ht="14.25" customHeight="1">
      <c r="A95" s="73" t="str">
        <f t="shared" si="1"/>
        <v>Onion</v>
      </c>
      <c r="B95" s="75"/>
      <c r="C95" s="365" t="str">
        <f t="shared" ref="C95:I95" si="33">$B95*C42</f>
        <v>  -   </v>
      </c>
      <c r="D95" s="365" t="str">
        <f t="shared" si="33"/>
        <v>  -   </v>
      </c>
      <c r="E95" s="365" t="str">
        <f t="shared" si="33"/>
        <v>  -   </v>
      </c>
      <c r="F95" s="365" t="str">
        <f t="shared" si="33"/>
        <v>  -   </v>
      </c>
      <c r="G95" s="365" t="str">
        <f t="shared" si="33"/>
        <v>  -   </v>
      </c>
      <c r="H95" s="365" t="str">
        <f t="shared" si="33"/>
        <v>  -   </v>
      </c>
      <c r="I95" s="365" t="str">
        <f t="shared" si="33"/>
        <v>  -   </v>
      </c>
    </row>
    <row r="96" ht="14.25" customHeight="1">
      <c r="A96" s="73" t="str">
        <f t="shared" si="1"/>
        <v>Tomato</v>
      </c>
      <c r="B96" s="75"/>
      <c r="C96" s="365" t="str">
        <f t="shared" ref="C96:I96" si="34">$B96*C43</f>
        <v>  -   </v>
      </c>
      <c r="D96" s="365" t="str">
        <f t="shared" si="34"/>
        <v>  -   </v>
      </c>
      <c r="E96" s="365" t="str">
        <f t="shared" si="34"/>
        <v>  -   </v>
      </c>
      <c r="F96" s="365" t="str">
        <f t="shared" si="34"/>
        <v>  -   </v>
      </c>
      <c r="G96" s="365" t="str">
        <f t="shared" si="34"/>
        <v>  -   </v>
      </c>
      <c r="H96" s="365" t="str">
        <f t="shared" si="34"/>
        <v>  -   </v>
      </c>
      <c r="I96" s="365" t="str">
        <f t="shared" si="34"/>
        <v>  -   </v>
      </c>
    </row>
    <row r="97" ht="14.25" customHeight="1">
      <c r="A97" s="73" t="str">
        <f t="shared" si="1"/>
        <v>Okra</v>
      </c>
      <c r="B97" s="75"/>
      <c r="C97" s="365" t="str">
        <f t="shared" ref="C97:I97" si="35">$B97*C44</f>
        <v>  -   </v>
      </c>
      <c r="D97" s="365" t="str">
        <f t="shared" si="35"/>
        <v>  -   </v>
      </c>
      <c r="E97" s="365" t="str">
        <f t="shared" si="35"/>
        <v>  -   </v>
      </c>
      <c r="F97" s="365" t="str">
        <f t="shared" si="35"/>
        <v>  -   </v>
      </c>
      <c r="G97" s="365" t="str">
        <f t="shared" si="35"/>
        <v>  -   </v>
      </c>
      <c r="H97" s="365" t="str">
        <f t="shared" si="35"/>
        <v>  -   </v>
      </c>
      <c r="I97" s="365" t="str">
        <f t="shared" si="35"/>
        <v>  -   </v>
      </c>
    </row>
    <row r="98" ht="14.25" customHeight="1">
      <c r="A98" s="73" t="str">
        <f t="shared" si="1"/>
        <v>Chilli</v>
      </c>
      <c r="B98" s="75"/>
      <c r="C98" s="365" t="str">
        <f t="shared" ref="C98:I98" si="36">$B98*C45</f>
        <v>  -   </v>
      </c>
      <c r="D98" s="365" t="str">
        <f t="shared" si="36"/>
        <v>  -   </v>
      </c>
      <c r="E98" s="365" t="str">
        <f t="shared" si="36"/>
        <v>  -   </v>
      </c>
      <c r="F98" s="365" t="str">
        <f t="shared" si="36"/>
        <v>  -   </v>
      </c>
      <c r="G98" s="365" t="str">
        <f t="shared" si="36"/>
        <v>  -   </v>
      </c>
      <c r="H98" s="365" t="str">
        <f t="shared" si="36"/>
        <v>  -   </v>
      </c>
      <c r="I98" s="365" t="str">
        <f t="shared" si="36"/>
        <v>  -   </v>
      </c>
    </row>
    <row r="99" ht="14.25" customHeight="1">
      <c r="A99" s="73" t="str">
        <f t="shared" si="1"/>
        <v>Brinjal</v>
      </c>
      <c r="B99" s="75"/>
      <c r="C99" s="365" t="str">
        <f t="shared" ref="C99:I99" si="37">$B99*C46</f>
        <v>  -   </v>
      </c>
      <c r="D99" s="365" t="str">
        <f t="shared" si="37"/>
        <v>  -   </v>
      </c>
      <c r="E99" s="365" t="str">
        <f t="shared" si="37"/>
        <v>  -   </v>
      </c>
      <c r="F99" s="365" t="str">
        <f t="shared" si="37"/>
        <v>  -   </v>
      </c>
      <c r="G99" s="365" t="str">
        <f t="shared" si="37"/>
        <v>  -   </v>
      </c>
      <c r="H99" s="365" t="str">
        <f t="shared" si="37"/>
        <v>  -   </v>
      </c>
      <c r="I99" s="365" t="str">
        <f t="shared" si="37"/>
        <v>  -   </v>
      </c>
    </row>
    <row r="100" ht="14.25" customHeight="1">
      <c r="A100" s="73" t="str">
        <f t="shared" si="1"/>
        <v/>
      </c>
      <c r="B100" s="75"/>
      <c r="C100" s="365" t="str">
        <f t="shared" ref="C100:I100" si="38">$B100*C47</f>
        <v>  -   </v>
      </c>
      <c r="D100" s="365" t="str">
        <f t="shared" si="38"/>
        <v>  -   </v>
      </c>
      <c r="E100" s="365" t="str">
        <f t="shared" si="38"/>
        <v>  -   </v>
      </c>
      <c r="F100" s="365" t="str">
        <f t="shared" si="38"/>
        <v>  -   </v>
      </c>
      <c r="G100" s="365" t="str">
        <f t="shared" si="38"/>
        <v>  -   </v>
      </c>
      <c r="H100" s="365" t="str">
        <f t="shared" si="38"/>
        <v>  -   </v>
      </c>
      <c r="I100" s="365" t="str">
        <f t="shared" si="38"/>
        <v>  -   </v>
      </c>
    </row>
    <row r="101" ht="14.25" customHeight="1">
      <c r="A101" s="73" t="str">
        <f t="shared" si="1"/>
        <v/>
      </c>
      <c r="B101" s="75"/>
      <c r="C101" s="365" t="str">
        <f t="shared" ref="C101:I101" si="39">$B101*C48</f>
        <v>  -   </v>
      </c>
      <c r="D101" s="365" t="str">
        <f t="shared" si="39"/>
        <v>  -   </v>
      </c>
      <c r="E101" s="365" t="str">
        <f t="shared" si="39"/>
        <v>  -   </v>
      </c>
      <c r="F101" s="365" t="str">
        <f t="shared" si="39"/>
        <v>  -   </v>
      </c>
      <c r="G101" s="365" t="str">
        <f t="shared" si="39"/>
        <v>  -   </v>
      </c>
      <c r="H101" s="365" t="str">
        <f t="shared" si="39"/>
        <v>  -   </v>
      </c>
      <c r="I101" s="365" t="str">
        <f t="shared" si="39"/>
        <v>  -   </v>
      </c>
    </row>
    <row r="102" ht="14.25" customHeight="1">
      <c r="A102" s="73" t="str">
        <f t="shared" si="1"/>
        <v/>
      </c>
      <c r="B102" s="75"/>
      <c r="C102" s="365" t="str">
        <f t="shared" ref="C102:I102" si="40">$B102*C49</f>
        <v>  -   </v>
      </c>
      <c r="D102" s="365" t="str">
        <f t="shared" si="40"/>
        <v>  -   </v>
      </c>
      <c r="E102" s="365" t="str">
        <f t="shared" si="40"/>
        <v>  -   </v>
      </c>
      <c r="F102" s="365" t="str">
        <f t="shared" si="40"/>
        <v>  -   </v>
      </c>
      <c r="G102" s="365" t="str">
        <f t="shared" si="40"/>
        <v>  -   </v>
      </c>
      <c r="H102" s="365" t="str">
        <f t="shared" si="40"/>
        <v>  -   </v>
      </c>
      <c r="I102" s="365" t="str">
        <f t="shared" si="40"/>
        <v>  -   </v>
      </c>
    </row>
    <row r="103" ht="14.25" customHeight="1">
      <c r="A103" s="73" t="str">
        <f t="shared" si="1"/>
        <v/>
      </c>
      <c r="B103" s="75"/>
      <c r="C103" s="365" t="str">
        <f t="shared" ref="C103:I103" si="41">$B103*C50</f>
        <v>  -   </v>
      </c>
      <c r="D103" s="365" t="str">
        <f t="shared" si="41"/>
        <v>  -   </v>
      </c>
      <c r="E103" s="365" t="str">
        <f t="shared" si="41"/>
        <v>  -   </v>
      </c>
      <c r="F103" s="365" t="str">
        <f t="shared" si="41"/>
        <v>  -   </v>
      </c>
      <c r="G103" s="365" t="str">
        <f t="shared" si="41"/>
        <v>  -   </v>
      </c>
      <c r="H103" s="365" t="str">
        <f t="shared" si="41"/>
        <v>  -   </v>
      </c>
      <c r="I103" s="365" t="str">
        <f t="shared" si="41"/>
        <v>  -   </v>
      </c>
    </row>
    <row r="104" ht="14.25" customHeight="1">
      <c r="A104" s="73" t="str">
        <f t="shared" si="1"/>
        <v/>
      </c>
      <c r="B104" s="75"/>
      <c r="C104" s="365" t="str">
        <f t="shared" ref="C104:I104" si="42">$B104*C51</f>
        <v>  -   </v>
      </c>
      <c r="D104" s="365" t="str">
        <f t="shared" si="42"/>
        <v>  -   </v>
      </c>
      <c r="E104" s="365" t="str">
        <f t="shared" si="42"/>
        <v>  -   </v>
      </c>
      <c r="F104" s="365" t="str">
        <f t="shared" si="42"/>
        <v>  -   </v>
      </c>
      <c r="G104" s="365" t="str">
        <f t="shared" si="42"/>
        <v>  -   </v>
      </c>
      <c r="H104" s="365" t="str">
        <f t="shared" si="42"/>
        <v>  -   </v>
      </c>
      <c r="I104" s="365" t="str">
        <f t="shared" si="42"/>
        <v>  -   </v>
      </c>
    </row>
    <row r="105" ht="14.25" customHeight="1">
      <c r="A105" s="73" t="str">
        <f t="shared" si="1"/>
        <v/>
      </c>
      <c r="B105" s="75"/>
      <c r="C105" s="365" t="str">
        <f t="shared" ref="C105:I105" si="43">$B105*C52</f>
        <v>  -   </v>
      </c>
      <c r="D105" s="365" t="str">
        <f t="shared" si="43"/>
        <v>  -   </v>
      </c>
      <c r="E105" s="365" t="str">
        <f t="shared" si="43"/>
        <v>  -   </v>
      </c>
      <c r="F105" s="365" t="str">
        <f t="shared" si="43"/>
        <v>  -   </v>
      </c>
      <c r="G105" s="365" t="str">
        <f t="shared" si="43"/>
        <v>  -   </v>
      </c>
      <c r="H105" s="365" t="str">
        <f t="shared" si="43"/>
        <v>  -   </v>
      </c>
      <c r="I105" s="365" t="str">
        <f t="shared" si="43"/>
        <v>  -   </v>
      </c>
    </row>
    <row r="106" ht="14.25" customHeight="1">
      <c r="A106" s="73" t="str">
        <f t="shared" si="1"/>
        <v/>
      </c>
      <c r="B106" s="75"/>
      <c r="C106" s="365" t="str">
        <f t="shared" ref="C106:I106" si="44">$B106*C53</f>
        <v>  -   </v>
      </c>
      <c r="D106" s="365" t="str">
        <f t="shared" si="44"/>
        <v>  -   </v>
      </c>
      <c r="E106" s="365" t="str">
        <f t="shared" si="44"/>
        <v>  -   </v>
      </c>
      <c r="F106" s="365" t="str">
        <f t="shared" si="44"/>
        <v>  -   </v>
      </c>
      <c r="G106" s="365" t="str">
        <f t="shared" si="44"/>
        <v>  -   </v>
      </c>
      <c r="H106" s="365" t="str">
        <f t="shared" si="44"/>
        <v>  -   </v>
      </c>
      <c r="I106" s="365" t="str">
        <f t="shared" si="44"/>
        <v>  -   </v>
      </c>
    </row>
    <row r="107" ht="14.25" customHeight="1">
      <c r="A107" s="73" t="str">
        <f t="shared" si="1"/>
        <v>Pomegranate</v>
      </c>
      <c r="B107" s="75"/>
      <c r="C107" s="365" t="str">
        <f t="shared" ref="C107:I107" si="45">$B107*C54</f>
        <v>  -   </v>
      </c>
      <c r="D107" s="365" t="str">
        <f t="shared" si="45"/>
        <v>  -   </v>
      </c>
      <c r="E107" s="365" t="str">
        <f t="shared" si="45"/>
        <v>  -   </v>
      </c>
      <c r="F107" s="365" t="str">
        <f t="shared" si="45"/>
        <v>  -   </v>
      </c>
      <c r="G107" s="365" t="str">
        <f t="shared" si="45"/>
        <v>  -   </v>
      </c>
      <c r="H107" s="365" t="str">
        <f t="shared" si="45"/>
        <v>  -   </v>
      </c>
      <c r="I107" s="365" t="str">
        <f t="shared" si="45"/>
        <v>  -   </v>
      </c>
    </row>
    <row r="108" ht="14.25" customHeight="1">
      <c r="A108" s="73" t="str">
        <f t="shared" si="1"/>
        <v>Custard Apple</v>
      </c>
      <c r="B108" s="75"/>
      <c r="C108" s="365" t="str">
        <f t="shared" ref="C108:I108" si="46">$B108*C55</f>
        <v>  -   </v>
      </c>
      <c r="D108" s="365" t="str">
        <f t="shared" si="46"/>
        <v>  -   </v>
      </c>
      <c r="E108" s="365" t="str">
        <f t="shared" si="46"/>
        <v>  -   </v>
      </c>
      <c r="F108" s="365" t="str">
        <f t="shared" si="46"/>
        <v>  -   </v>
      </c>
      <c r="G108" s="365" t="str">
        <f t="shared" si="46"/>
        <v>  -   </v>
      </c>
      <c r="H108" s="365" t="str">
        <f t="shared" si="46"/>
        <v>  -   </v>
      </c>
      <c r="I108" s="365" t="str">
        <f t="shared" si="46"/>
        <v>  -   </v>
      </c>
    </row>
    <row r="109" ht="14.25" customHeight="1">
      <c r="A109" s="73" t="str">
        <f t="shared" si="1"/>
        <v>Guava</v>
      </c>
      <c r="B109" s="75"/>
      <c r="C109" s="365" t="str">
        <f t="shared" ref="C109:I109" si="47">$B109*C56</f>
        <v>  -   </v>
      </c>
      <c r="D109" s="365" t="str">
        <f t="shared" si="47"/>
        <v>  -   </v>
      </c>
      <c r="E109" s="365" t="str">
        <f t="shared" si="47"/>
        <v>  -   </v>
      </c>
      <c r="F109" s="365" t="str">
        <f t="shared" si="47"/>
        <v>  -   </v>
      </c>
      <c r="G109" s="365" t="str">
        <f t="shared" si="47"/>
        <v>  -   </v>
      </c>
      <c r="H109" s="365" t="str">
        <f t="shared" si="47"/>
        <v>  -   </v>
      </c>
      <c r="I109" s="365" t="str">
        <f t="shared" si="47"/>
        <v>  -   </v>
      </c>
    </row>
    <row r="110" ht="14.25" customHeight="1">
      <c r="A110" s="73" t="str">
        <f t="shared" si="1"/>
        <v>Citrus</v>
      </c>
      <c r="B110" s="75"/>
      <c r="C110" s="365" t="str">
        <f t="shared" ref="C110:I110" si="48">$B110*C57</f>
        <v>  -   </v>
      </c>
      <c r="D110" s="365" t="str">
        <f t="shared" si="48"/>
        <v>  -   </v>
      </c>
      <c r="E110" s="365" t="str">
        <f t="shared" si="48"/>
        <v>  -   </v>
      </c>
      <c r="F110" s="365" t="str">
        <f t="shared" si="48"/>
        <v>  -   </v>
      </c>
      <c r="G110" s="365" t="str">
        <f t="shared" si="48"/>
        <v>  -   </v>
      </c>
      <c r="H110" s="365" t="str">
        <f t="shared" si="48"/>
        <v>  -   </v>
      </c>
      <c r="I110" s="365" t="str">
        <f t="shared" si="48"/>
        <v>  -   </v>
      </c>
    </row>
    <row r="111" ht="14.25" customHeight="1">
      <c r="A111" s="73"/>
      <c r="B111" s="75"/>
      <c r="C111" s="365"/>
      <c r="D111" s="365"/>
      <c r="E111" s="365"/>
      <c r="F111" s="365"/>
      <c r="G111" s="365"/>
      <c r="H111" s="365"/>
      <c r="I111" s="365"/>
    </row>
    <row r="112" ht="14.25" customHeight="1">
      <c r="A112" s="73"/>
      <c r="B112" s="75"/>
      <c r="C112" s="365"/>
      <c r="D112" s="365"/>
      <c r="E112" s="365"/>
      <c r="F112" s="365"/>
      <c r="G112" s="365"/>
      <c r="H112" s="365"/>
      <c r="I112" s="365"/>
    </row>
    <row r="113" ht="14.25" customHeight="1">
      <c r="A113" s="117" t="s">
        <v>734</v>
      </c>
      <c r="B113" s="73" t="s">
        <v>735</v>
      </c>
      <c r="C113" s="73"/>
      <c r="D113" s="73"/>
      <c r="E113" s="73"/>
      <c r="F113" s="73"/>
      <c r="G113" s="73"/>
      <c r="H113" s="73"/>
      <c r="I113" s="73"/>
    </row>
    <row r="114" ht="14.25" customHeight="1">
      <c r="A114" s="73" t="s">
        <v>736</v>
      </c>
      <c r="B114" s="75">
        <v>100.0</v>
      </c>
      <c r="C114" s="365" t="str">
        <f t="shared" ref="C114:I114" si="49">SUM(C62:C110)*$B$114</f>
        <v>  -   </v>
      </c>
      <c r="D114" s="365" t="str">
        <f t="shared" si="49"/>
        <v>  -   </v>
      </c>
      <c r="E114" s="365" t="str">
        <f t="shared" si="49"/>
        <v>  -   </v>
      </c>
      <c r="F114" s="365" t="str">
        <f t="shared" si="49"/>
        <v>  -   </v>
      </c>
      <c r="G114" s="365" t="str">
        <f t="shared" si="49"/>
        <v>  -   </v>
      </c>
      <c r="H114" s="365" t="str">
        <f t="shared" si="49"/>
        <v>  -   </v>
      </c>
      <c r="I114" s="365" t="str">
        <f t="shared" si="49"/>
        <v>  -   </v>
      </c>
    </row>
    <row r="115" ht="14.25" customHeight="1">
      <c r="A115" s="73" t="s">
        <v>737</v>
      </c>
      <c r="B115" s="75">
        <v>30.0</v>
      </c>
      <c r="C115" s="365" t="str">
        <f t="shared" ref="C115:I115" si="50">SUM(C62:C110)*$B$115</f>
        <v>  -   </v>
      </c>
      <c r="D115" s="365" t="str">
        <f t="shared" si="50"/>
        <v>  -   </v>
      </c>
      <c r="E115" s="365" t="str">
        <f t="shared" si="50"/>
        <v>  -   </v>
      </c>
      <c r="F115" s="365" t="str">
        <f t="shared" si="50"/>
        <v>  -   </v>
      </c>
      <c r="G115" s="365" t="str">
        <f t="shared" si="50"/>
        <v>  -   </v>
      </c>
      <c r="H115" s="365" t="str">
        <f t="shared" si="50"/>
        <v>  -   </v>
      </c>
      <c r="I115" s="365" t="str">
        <f t="shared" si="50"/>
        <v>  -   </v>
      </c>
    </row>
    <row r="116" ht="14.25" customHeight="1">
      <c r="A116" s="73" t="s">
        <v>738</v>
      </c>
      <c r="B116" s="75">
        <v>30.0</v>
      </c>
      <c r="C116" s="365" t="str">
        <f t="shared" ref="C116:I116" si="51">SUM(C62:C110)*$B$116</f>
        <v>  -   </v>
      </c>
      <c r="D116" s="365" t="str">
        <f t="shared" si="51"/>
        <v>  -   </v>
      </c>
      <c r="E116" s="365" t="str">
        <f t="shared" si="51"/>
        <v>  -   </v>
      </c>
      <c r="F116" s="365" t="str">
        <f t="shared" si="51"/>
        <v>  -   </v>
      </c>
      <c r="G116" s="365" t="str">
        <f t="shared" si="51"/>
        <v>  -   </v>
      </c>
      <c r="H116" s="365" t="str">
        <f t="shared" si="51"/>
        <v>  -   </v>
      </c>
      <c r="I116" s="365" t="str">
        <f t="shared" si="51"/>
        <v>  -   </v>
      </c>
    </row>
    <row r="117" ht="14.25" customHeight="1">
      <c r="A117" s="117" t="s">
        <v>739</v>
      </c>
      <c r="B117" s="75"/>
      <c r="C117" s="73"/>
      <c r="D117" s="73"/>
      <c r="E117" s="73"/>
      <c r="F117" s="73"/>
      <c r="G117" s="73"/>
      <c r="H117" s="73"/>
      <c r="I117" s="73"/>
    </row>
    <row r="118" ht="14.25" customHeight="1">
      <c r="A118" s="73" t="s">
        <v>740</v>
      </c>
      <c r="B118" s="75">
        <v>0.2</v>
      </c>
      <c r="C118" s="365" t="str">
        <f t="shared" ref="C118:I118" si="52">SUM(C62:C110)*$B$118</f>
        <v>  -   </v>
      </c>
      <c r="D118" s="365" t="str">
        <f t="shared" si="52"/>
        <v>  -   </v>
      </c>
      <c r="E118" s="365" t="str">
        <f t="shared" si="52"/>
        <v>  -   </v>
      </c>
      <c r="F118" s="365" t="str">
        <f t="shared" si="52"/>
        <v>  -   </v>
      </c>
      <c r="G118" s="365" t="str">
        <f t="shared" si="52"/>
        <v>  -   </v>
      </c>
      <c r="H118" s="365" t="str">
        <f t="shared" si="52"/>
        <v>  -   </v>
      </c>
      <c r="I118" s="365" t="str">
        <f t="shared" si="52"/>
        <v>  -   </v>
      </c>
    </row>
    <row r="119" ht="14.25" customHeight="1">
      <c r="A119" s="73" t="s">
        <v>741</v>
      </c>
      <c r="B119" s="75">
        <v>0.5</v>
      </c>
      <c r="C119" s="365" t="str">
        <f t="shared" ref="C119:I119" si="53">SUM(C62:C110)*$B$119</f>
        <v>  -   </v>
      </c>
      <c r="D119" s="365" t="str">
        <f t="shared" si="53"/>
        <v>  -   </v>
      </c>
      <c r="E119" s="365" t="str">
        <f t="shared" si="53"/>
        <v>  -   </v>
      </c>
      <c r="F119" s="365" t="str">
        <f t="shared" si="53"/>
        <v>  -   </v>
      </c>
      <c r="G119" s="365" t="str">
        <f t="shared" si="53"/>
        <v>  -   </v>
      </c>
      <c r="H119" s="365" t="str">
        <f t="shared" si="53"/>
        <v>  -   </v>
      </c>
      <c r="I119" s="365" t="str">
        <f t="shared" si="53"/>
        <v>  -   </v>
      </c>
    </row>
    <row r="120" ht="14.25" customHeight="1"/>
    <row r="121" ht="14.25" customHeight="1"/>
    <row r="122" ht="14.25" customHeight="1">
      <c r="A122" s="25" t="s">
        <v>742</v>
      </c>
    </row>
    <row r="123" ht="14.25" customHeight="1">
      <c r="A123" s="24"/>
      <c r="B123" s="24"/>
      <c r="C123" s="24"/>
      <c r="D123" s="24"/>
      <c r="E123" s="24"/>
      <c r="F123" s="24"/>
      <c r="G123" s="24"/>
      <c r="H123" s="24"/>
    </row>
    <row r="124" ht="14.25" customHeight="1">
      <c r="A124" s="367"/>
      <c r="B124" s="367"/>
      <c r="C124" s="367"/>
      <c r="D124" s="368">
        <v>1.0</v>
      </c>
      <c r="E124" s="369" t="str">
        <f t="shared" ref="E124:J124" si="54">(D124*5%)+D124</f>
        <v>105.00%</v>
      </c>
      <c r="F124" s="369" t="str">
        <f t="shared" si="54"/>
        <v>110.25%</v>
      </c>
      <c r="G124" s="369" t="str">
        <f t="shared" si="54"/>
        <v>115.76%</v>
      </c>
      <c r="H124" s="369" t="str">
        <f t="shared" si="54"/>
        <v>121.55%</v>
      </c>
      <c r="I124" s="369" t="str">
        <f t="shared" si="54"/>
        <v>127.63%</v>
      </c>
      <c r="J124" s="369" t="str">
        <f t="shared" si="54"/>
        <v>134.01%</v>
      </c>
      <c r="K124" s="111"/>
      <c r="U124" s="111"/>
      <c r="V124" s="111"/>
      <c r="W124" s="111"/>
    </row>
    <row r="125" ht="14.25" customHeight="1">
      <c r="A125" s="111"/>
      <c r="B125" s="111"/>
      <c r="C125" s="111"/>
      <c r="D125" s="111"/>
      <c r="E125" s="111"/>
      <c r="F125" s="111"/>
      <c r="G125" s="111"/>
      <c r="H125" s="111"/>
      <c r="I125" s="111"/>
      <c r="J125" s="111"/>
      <c r="K125" s="111"/>
      <c r="U125" s="111"/>
      <c r="V125" s="111"/>
      <c r="W125" s="111"/>
    </row>
    <row r="126" ht="14.25" customHeight="1">
      <c r="A126" s="114" t="s">
        <v>190</v>
      </c>
      <c r="B126" s="114" t="s">
        <v>121</v>
      </c>
      <c r="C126" s="114" t="s">
        <v>135</v>
      </c>
      <c r="D126" s="115" t="s">
        <v>193</v>
      </c>
      <c r="E126" s="115" t="s">
        <v>194</v>
      </c>
      <c r="F126" s="115" t="s">
        <v>195</v>
      </c>
      <c r="G126" s="115" t="s">
        <v>196</v>
      </c>
      <c r="H126" s="115" t="s">
        <v>197</v>
      </c>
      <c r="I126" s="115" t="s">
        <v>198</v>
      </c>
      <c r="J126" s="115" t="s">
        <v>199</v>
      </c>
      <c r="K126" s="111"/>
      <c r="U126" s="111"/>
      <c r="V126" s="111"/>
      <c r="W126" s="111"/>
    </row>
    <row r="127" ht="14.25" customHeight="1">
      <c r="A127" s="117" t="s">
        <v>743</v>
      </c>
      <c r="B127" s="73"/>
      <c r="C127" s="73"/>
      <c r="D127" s="73"/>
      <c r="E127" s="73"/>
      <c r="F127" s="73"/>
      <c r="G127" s="73"/>
      <c r="H127" s="73"/>
      <c r="I127" s="73"/>
      <c r="J127" s="73"/>
      <c r="K127" s="111"/>
      <c r="U127" s="111"/>
      <c r="V127" s="111"/>
      <c r="W127" s="111"/>
    </row>
    <row r="128" ht="14.25" customHeight="1">
      <c r="A128" s="73" t="s">
        <v>744</v>
      </c>
      <c r="B128" s="73"/>
      <c r="C128" s="73"/>
      <c r="D128" s="73"/>
      <c r="E128" s="73"/>
      <c r="F128" s="73"/>
      <c r="G128" s="73"/>
      <c r="H128" s="73"/>
      <c r="I128" s="73"/>
      <c r="J128" s="73"/>
      <c r="K128" s="111"/>
      <c r="U128" s="111"/>
      <c r="V128" s="111"/>
      <c r="W128" s="111"/>
    </row>
    <row r="129" ht="14.25" customHeight="1">
      <c r="A129" s="117" t="str">
        <f t="shared" ref="A129:A179" si="55">A8</f>
        <v>Kharif Crops</v>
      </c>
      <c r="B129" s="73"/>
      <c r="C129" s="73" t="s">
        <v>745</v>
      </c>
      <c r="D129" s="73"/>
      <c r="E129" s="73"/>
      <c r="F129" s="73"/>
      <c r="G129" s="73"/>
      <c r="H129" s="73"/>
      <c r="I129" s="73"/>
      <c r="J129" s="73"/>
      <c r="K129" s="111"/>
      <c r="U129" s="111"/>
      <c r="V129" s="111"/>
      <c r="W129" s="111"/>
    </row>
    <row r="130" ht="14.25" customHeight="1">
      <c r="A130" s="73" t="str">
        <f t="shared" si="55"/>
        <v>Soybean</v>
      </c>
      <c r="B130" s="73"/>
      <c r="C130" s="75">
        <v>90.0</v>
      </c>
      <c r="D130" s="116" t="str">
        <f>(C62*(1-'5.Closing Stock &amp; W Capital'!$D$15))*$C$130*D$124</f>
        <v>  -   </v>
      </c>
      <c r="E130" s="116" t="str">
        <f>((D62*(1-'5.Closing Stock &amp; W Capital'!$D$15))+(C62*'5.Closing Stock &amp; W Capital'!$D$15))*$C$130*E$124</f>
        <v>  -   </v>
      </c>
      <c r="F130" s="116" t="str">
        <f>((E62*(1-'5.Closing Stock &amp; W Capital'!$D$15))+(D62*'5.Closing Stock &amp; W Capital'!$D$15))*$C$130*F$124</f>
        <v>  -   </v>
      </c>
      <c r="G130" s="116" t="str">
        <f>((F62*(1-'5.Closing Stock &amp; W Capital'!$D$15))+(E62*'5.Closing Stock &amp; W Capital'!$D$15))*$C$130*G$124</f>
        <v>  -   </v>
      </c>
      <c r="H130" s="116" t="str">
        <f>((G62*(1-'5.Closing Stock &amp; W Capital'!$D$15))+(F62*'5.Closing Stock &amp; W Capital'!$D$15))*$C$130*H$124</f>
        <v>  -   </v>
      </c>
      <c r="I130" s="116" t="str">
        <f>((H62*(1-'5.Closing Stock &amp; W Capital'!$D$15))+(G62*'5.Closing Stock &amp; W Capital'!$D$15))*$C$130*I$124</f>
        <v>  -   </v>
      </c>
      <c r="J130" s="116" t="str">
        <f>((I62*(1-'5.Closing Stock &amp; W Capital'!$D$15))+(H62*'5.Closing Stock &amp; W Capital'!$D$15))*$C$130*J$124</f>
        <v>  -   </v>
      </c>
      <c r="K130" s="112"/>
      <c r="U130" s="111"/>
      <c r="V130" s="111"/>
      <c r="W130" s="111"/>
    </row>
    <row r="131" ht="14.25" customHeight="1">
      <c r="A131" s="73" t="str">
        <f t="shared" si="55"/>
        <v>Red Gram/Tur</v>
      </c>
      <c r="B131" s="73"/>
      <c r="C131" s="380">
        <v>90.0</v>
      </c>
      <c r="D131" s="116" t="str">
        <f>(C63*(1-'5.Closing Stock &amp; W Capital'!$D$15))*$C$131*D$124</f>
        <v>  -   </v>
      </c>
      <c r="E131" s="116" t="str">
        <f>((D63*(1-'5.Closing Stock &amp; W Capital'!$D$15))+(C63*'5.Closing Stock &amp; W Capital'!$D$15))*$C$131*E$124</f>
        <v>  -   </v>
      </c>
      <c r="F131" s="116" t="str">
        <f>((E63*(1-'5.Closing Stock &amp; W Capital'!$D$15))+(D63*'5.Closing Stock &amp; W Capital'!$D$15))*$C$131*F$124</f>
        <v>  -   </v>
      </c>
      <c r="G131" s="116" t="str">
        <f>((F63*(1-'5.Closing Stock &amp; W Capital'!$D$15))+(E63*'5.Closing Stock &amp; W Capital'!$D$15))*$C$131*G124</f>
        <v>  -   </v>
      </c>
      <c r="H131" s="116" t="str">
        <f>((G63*(1-'5.Closing Stock &amp; W Capital'!$D$15))+(F63*'5.Closing Stock &amp; W Capital'!$D$15))*$C$131*H124</f>
        <v>  -   </v>
      </c>
      <c r="I131" s="116" t="str">
        <f>((H63*(1-'5.Closing Stock &amp; W Capital'!$D$15))+(G63*'5.Closing Stock &amp; W Capital'!$D$15))*$C$131*I124</f>
        <v>  -   </v>
      </c>
      <c r="J131" s="116" t="str">
        <f>((I63*(1-'5.Closing Stock &amp; W Capital'!$D$15))+(H63*'5.Closing Stock &amp; W Capital'!$D$15))*$C$131*J124</f>
        <v>  -   </v>
      </c>
      <c r="K131" s="111"/>
      <c r="U131" s="112"/>
      <c r="V131" s="111"/>
      <c r="W131" s="111"/>
    </row>
    <row r="132" ht="14.25" customHeight="1">
      <c r="A132" s="73" t="str">
        <f t="shared" si="55"/>
        <v>Paddy/Rice</v>
      </c>
      <c r="B132" s="73"/>
      <c r="C132" s="380"/>
      <c r="D132" s="116" t="str">
        <f>(C64*(1-'5.Closing Stock &amp; W Capital'!$D$15))*$C$132*D$124</f>
        <v>  -   </v>
      </c>
      <c r="E132" s="116" t="str">
        <f>((D64*(1-'5.Closing Stock &amp; W Capital'!$D$15))+(C64*'5.Closing Stock &amp; W Capital'!$D$15))*$C$132*E$124</f>
        <v>  -   </v>
      </c>
      <c r="F132" s="116" t="str">
        <f>((E64*(1-'5.Closing Stock &amp; W Capital'!$D$15))+(D64*'5.Closing Stock &amp; W Capital'!$D$15))*$C$132*F$124</f>
        <v>  -   </v>
      </c>
      <c r="G132" s="116" t="str">
        <f>((F64*(1-'5.Closing Stock &amp; W Capital'!$D$15))+(E64*'5.Closing Stock &amp; W Capital'!$D$15))*$C$132*G124</f>
        <v>  -   </v>
      </c>
      <c r="H132" s="116" t="str">
        <f>((G64*(1-'5.Closing Stock &amp; W Capital'!$D$15))+(F64*'5.Closing Stock &amp; W Capital'!$D$15))*$C$132*H124</f>
        <v>  -   </v>
      </c>
      <c r="I132" s="116" t="str">
        <f>((H64*(1-'5.Closing Stock &amp; W Capital'!$D$15))+(G64*'5.Closing Stock &amp; W Capital'!$D$15))*$C$132*I124</f>
        <v>  -   </v>
      </c>
      <c r="J132" s="116" t="str">
        <f>((I64*(1-'5.Closing Stock &amp; W Capital'!$D$15))+(H64*'5.Closing Stock &amp; W Capital'!$D$15))*$C$132*J124</f>
        <v>  -   </v>
      </c>
      <c r="K132" s="111"/>
      <c r="U132" s="111"/>
      <c r="V132" s="111"/>
      <c r="W132" s="111"/>
    </row>
    <row r="133" ht="14.25" customHeight="1">
      <c r="A133" s="73" t="str">
        <f t="shared" si="55"/>
        <v>Green Gram/ Moong</v>
      </c>
      <c r="B133" s="73"/>
      <c r="C133" s="380">
        <v>100.0</v>
      </c>
      <c r="D133" s="116" t="str">
        <f>(C65*(1-'5.Closing Stock &amp; W Capital'!$D$15))*$C$133*D$124</f>
        <v>  -   </v>
      </c>
      <c r="E133" s="116" t="str">
        <f>((D65*(1-'5.Closing Stock &amp; W Capital'!$D$15))+(C65*'5.Closing Stock &amp; W Capital'!$D$15))*$C$133*E$124</f>
        <v>  -   </v>
      </c>
      <c r="F133" s="116" t="str">
        <f>((E65*(1-'5.Closing Stock &amp; W Capital'!$D$15))+(D65*'5.Closing Stock &amp; W Capital'!$D$15))*$C$133*F$124</f>
        <v>  -   </v>
      </c>
      <c r="G133" s="116" t="str">
        <f>((F65*(1-'5.Closing Stock &amp; W Capital'!$D$15))+(E65*'5.Closing Stock &amp; W Capital'!$D$15))*$C$133*G$124</f>
        <v>  -   </v>
      </c>
      <c r="H133" s="116" t="str">
        <f>((G65*(1-'5.Closing Stock &amp; W Capital'!$D$15))+(F65*'5.Closing Stock &amp; W Capital'!$D$15))*$C$133*H$124</f>
        <v>  -   </v>
      </c>
      <c r="I133" s="116" t="str">
        <f>((H65*(1-'5.Closing Stock &amp; W Capital'!$D$15))+(G65*'5.Closing Stock &amp; W Capital'!$D$15))*$C$133*I$124</f>
        <v>  -   </v>
      </c>
      <c r="J133" s="116" t="str">
        <f>((I65*(1-'5.Closing Stock &amp; W Capital'!$D$15))+(H65*'5.Closing Stock &amp; W Capital'!$D$15))*$C$133*J$124</f>
        <v>  -   </v>
      </c>
      <c r="K133" s="111"/>
      <c r="U133" s="111"/>
      <c r="V133" s="111"/>
      <c r="W133" s="111"/>
    </row>
    <row r="134" ht="14.25" customHeight="1">
      <c r="A134" s="73" t="str">
        <f t="shared" si="55"/>
        <v>Maize</v>
      </c>
      <c r="B134" s="73"/>
      <c r="C134" s="380"/>
      <c r="D134" s="116" t="str">
        <f>(C66*(1-'5.Closing Stock &amp; W Capital'!$D$15))*$C$134*D$124</f>
        <v>  -   </v>
      </c>
      <c r="E134" s="116" t="str">
        <f>((D66*(1-'5.Closing Stock &amp; W Capital'!$D$15))+(C66*'5.Closing Stock &amp; W Capital'!$D$15))*$C$135*E$124</f>
        <v>  -   </v>
      </c>
      <c r="F134" s="116" t="str">
        <f>((E66*(1-'5.Closing Stock &amp; W Capital'!$D$15))+(D66*'5.Closing Stock &amp; W Capital'!$D$15))*$C$135*F$124</f>
        <v>  -   </v>
      </c>
      <c r="G134" s="116" t="str">
        <f>((F66*(1-'5.Closing Stock &amp; W Capital'!$D$15))+(E66*'5.Closing Stock &amp; W Capital'!$D$15))*$C$135*G$124</f>
        <v>  -   </v>
      </c>
      <c r="H134" s="116" t="str">
        <f>((G66*(1-'5.Closing Stock &amp; W Capital'!$D$15))+(F66*'5.Closing Stock &amp; W Capital'!$D$15))*$C$135*H$124</f>
        <v>  -   </v>
      </c>
      <c r="I134" s="116" t="str">
        <f>((H66*(1-'5.Closing Stock &amp; W Capital'!$D$15))+(G66*'5.Closing Stock &amp; W Capital'!$D$15))*$C$135*I$124</f>
        <v>  -   </v>
      </c>
      <c r="J134" s="116" t="str">
        <f>((I66*(1-'5.Closing Stock &amp; W Capital'!$D$15))+(H66*'5.Closing Stock &amp; W Capital'!$D$15))*$C$135*J$124</f>
        <v>  -   </v>
      </c>
      <c r="K134" s="111"/>
      <c r="U134" s="111"/>
      <c r="V134" s="111"/>
      <c r="W134" s="111"/>
    </row>
    <row r="135" ht="14.25" customHeight="1">
      <c r="A135" s="73" t="str">
        <f t="shared" si="55"/>
        <v>Black Gram/Udid</v>
      </c>
      <c r="B135" s="73"/>
      <c r="C135" s="380">
        <v>100.0</v>
      </c>
      <c r="D135" s="116" t="str">
        <f>(C67*(1-'5.Closing Stock &amp; W Capital'!$D$15))*$C$135*D$124</f>
        <v>  -   </v>
      </c>
      <c r="E135" s="116" t="str">
        <f>((D67*(1-'5.Closing Stock &amp; W Capital'!$D$15))+(C67*'5.Closing Stock &amp; W Capital'!$D$15))*$C$135*E$124</f>
        <v>  -   </v>
      </c>
      <c r="F135" s="116" t="str">
        <f>((E67*(1-'5.Closing Stock &amp; W Capital'!$D$15))+(D67*'5.Closing Stock &amp; W Capital'!$D$15))*$C$135*F$124</f>
        <v>  -   </v>
      </c>
      <c r="G135" s="116" t="str">
        <f>((F67*(1-'5.Closing Stock &amp; W Capital'!$D$15))+(E67*'5.Closing Stock &amp; W Capital'!$D$15))*$C$135*G$124</f>
        <v>  -   </v>
      </c>
      <c r="H135" s="116" t="str">
        <f>((G67*(1-'5.Closing Stock &amp; W Capital'!$D$15))+(F67*'5.Closing Stock &amp; W Capital'!$D$15))*$C$135*H$124</f>
        <v>  -   </v>
      </c>
      <c r="I135" s="116" t="str">
        <f>((H67*(1-'5.Closing Stock &amp; W Capital'!$D$15))+(G67*'5.Closing Stock &amp; W Capital'!$D$15))*$C$135*I$124</f>
        <v>  -   </v>
      </c>
      <c r="J135" s="116" t="str">
        <f>((I67*(1-'5.Closing Stock &amp; W Capital'!$D$15))+(H67*'5.Closing Stock &amp; W Capital'!$D$15))*$C$135*J$124</f>
        <v>  -   </v>
      </c>
      <c r="K135" s="111"/>
      <c r="U135" s="111"/>
      <c r="V135" s="111"/>
      <c r="W135" s="111"/>
    </row>
    <row r="136" ht="14.25" customHeight="1">
      <c r="A136" s="73" t="str">
        <f t="shared" si="55"/>
        <v>Bajra</v>
      </c>
      <c r="B136" s="73"/>
      <c r="C136" s="380"/>
      <c r="D136" s="116" t="str">
        <f>(C68*(1-'5.Closing Stock &amp; W Capital'!$D$15))*$C$136*D$124</f>
        <v>  -   </v>
      </c>
      <c r="E136" s="116" t="str">
        <f>((D68*(1-'5.Closing Stock &amp; W Capital'!$D$15))+(C68*'5.Closing Stock &amp; W Capital'!$D$15))*$C$136*E$124</f>
        <v>  -   </v>
      </c>
      <c r="F136" s="116" t="str">
        <f>((E68*(1-'5.Closing Stock &amp; W Capital'!$D$15))+(D68*'5.Closing Stock &amp; W Capital'!$D$15))*$C$136*F$124</f>
        <v>  -   </v>
      </c>
      <c r="G136" s="116" t="str">
        <f>((F68*(1-'5.Closing Stock &amp; W Capital'!$D$15))+(E68*'5.Closing Stock &amp; W Capital'!$D$15))*$C$136*G$124</f>
        <v>  -   </v>
      </c>
      <c r="H136" s="116" t="str">
        <f>((G68*(1-'5.Closing Stock &amp; W Capital'!$D$15))+(F68*'5.Closing Stock &amp; W Capital'!$D$15))*$C$136*H$124</f>
        <v>  -   </v>
      </c>
      <c r="I136" s="116" t="str">
        <f>((H68*(1-'5.Closing Stock &amp; W Capital'!$D$15))+(G68*'5.Closing Stock &amp; W Capital'!$D$15))*$C$136*I$124</f>
        <v>  -   </v>
      </c>
      <c r="J136" s="116" t="str">
        <f>((I68*(1-'5.Closing Stock &amp; W Capital'!$D$15))+(H68*'5.Closing Stock &amp; W Capital'!$D$15))*$C$136*J$124</f>
        <v>  -   </v>
      </c>
      <c r="K136" s="111"/>
      <c r="U136" s="111"/>
      <c r="V136" s="111"/>
      <c r="W136" s="111"/>
    </row>
    <row r="137" ht="14.25" customHeight="1">
      <c r="A137" s="73" t="str">
        <f t="shared" si="55"/>
        <v>Jawar</v>
      </c>
      <c r="B137" s="73"/>
      <c r="C137" s="380"/>
      <c r="D137" s="116" t="str">
        <f>(C69*(1-'5.Closing Stock &amp; W Capital'!$D$15))*$C$137*D$124</f>
        <v>  -   </v>
      </c>
      <c r="E137" s="116" t="str">
        <f>((D69*(1-'5.Closing Stock &amp; W Capital'!$D$15))+(C69*'5.Closing Stock &amp; W Capital'!$D$15))*$C$137*E$124</f>
        <v>  -   </v>
      </c>
      <c r="F137" s="116" t="str">
        <f>((E69*(1-'5.Closing Stock &amp; W Capital'!$D$15))+(D69*'5.Closing Stock &amp; W Capital'!$D$15))*$C$137*F$124</f>
        <v>  -   </v>
      </c>
      <c r="G137" s="116" t="str">
        <f>((F69*(1-'5.Closing Stock &amp; W Capital'!$D$15))+(E69*'5.Closing Stock &amp; W Capital'!$D$15))*$C$137*G$124</f>
        <v>  -   </v>
      </c>
      <c r="H137" s="116" t="str">
        <f>((G69*(1-'5.Closing Stock &amp; W Capital'!$D$15))+(F69*'5.Closing Stock &amp; W Capital'!$D$15))*$C$137*H$124</f>
        <v>  -   </v>
      </c>
      <c r="I137" s="116" t="str">
        <f>((H69*(1-'5.Closing Stock &amp; W Capital'!$D$15))+(G69*'5.Closing Stock &amp; W Capital'!$D$15))*$C$137*I$124</f>
        <v>  -   </v>
      </c>
      <c r="J137" s="116" t="str">
        <f>((I69*(1-'5.Closing Stock &amp; W Capital'!$D$15))+(H69*'5.Closing Stock &amp; W Capital'!$D$15))*$C$137*J$124</f>
        <v>  -   </v>
      </c>
      <c r="K137" s="111"/>
      <c r="U137" s="111"/>
      <c r="V137" s="111"/>
      <c r="W137" s="111"/>
    </row>
    <row r="138" ht="14.25" customHeight="1">
      <c r="A138" s="117" t="str">
        <f t="shared" si="55"/>
        <v>Rabi Crop</v>
      </c>
      <c r="B138" s="73"/>
      <c r="C138" s="380"/>
      <c r="D138" s="116"/>
      <c r="E138" s="116"/>
      <c r="F138" s="116"/>
      <c r="G138" s="116"/>
      <c r="H138" s="116"/>
      <c r="I138" s="116"/>
      <c r="J138" s="116"/>
      <c r="K138" s="111"/>
      <c r="U138" s="111"/>
      <c r="V138" s="111"/>
      <c r="W138" s="111"/>
    </row>
    <row r="139" ht="14.25" customHeight="1">
      <c r="A139" s="73" t="str">
        <f t="shared" si="55"/>
        <v>Wheat</v>
      </c>
      <c r="B139" s="73"/>
      <c r="C139" s="380"/>
      <c r="D139" s="116" t="str">
        <f>(C71*(1-'5.Closing Stock &amp; W Capital'!$D$15))*$C$139*D$124</f>
        <v>  -   </v>
      </c>
      <c r="E139" s="116" t="str">
        <f>((D71*(1-'5.Closing Stock &amp; W Capital'!$D$15))+(C71*'5.Closing Stock &amp; W Capital'!$D$15))*$C$139*E$124</f>
        <v>  -   </v>
      </c>
      <c r="F139" s="116" t="str">
        <f>((E71*(1-'5.Closing Stock &amp; W Capital'!$D$15))+(D71*'5.Closing Stock &amp; W Capital'!$D$15))*$C$139*F$124</f>
        <v>  -   </v>
      </c>
      <c r="G139" s="116" t="str">
        <f>((F71*(1-'5.Closing Stock &amp; W Capital'!$D$15))+(E71*'5.Closing Stock &amp; W Capital'!$D$15))*$C$139*G$124</f>
        <v>  -   </v>
      </c>
      <c r="H139" s="116" t="str">
        <f>((G71*(1-'5.Closing Stock &amp; W Capital'!$D$15))+(F71*'5.Closing Stock &amp; W Capital'!$D$15))*$C$139*H$124</f>
        <v>  -   </v>
      </c>
      <c r="I139" s="116" t="str">
        <f>((H71*(1-'5.Closing Stock &amp; W Capital'!$D$15))+(G71*'5.Closing Stock &amp; W Capital'!$D$15))*$C$139*I$124</f>
        <v>  -   </v>
      </c>
      <c r="J139" s="116" t="str">
        <f>((I71*(1-'5.Closing Stock &amp; W Capital'!$D$15))+(H71*'5.Closing Stock &amp; W Capital'!$D$15))*$C$139*J$124</f>
        <v>  -   </v>
      </c>
      <c r="K139" s="111"/>
      <c r="U139" s="111"/>
      <c r="V139" s="111"/>
      <c r="W139" s="111"/>
    </row>
    <row r="140" ht="14.25" customHeight="1">
      <c r="A140" s="73" t="str">
        <f t="shared" si="55"/>
        <v>Bengal Gram/Channa</v>
      </c>
      <c r="B140" s="73"/>
      <c r="C140" s="380">
        <v>80.0</v>
      </c>
      <c r="D140" s="116" t="str">
        <f>(C72*(1-'5.Closing Stock &amp; W Capital'!$D$15))*$C$140*D$124</f>
        <v>  -   </v>
      </c>
      <c r="E140" s="116" t="str">
        <f>((D72*(1-'5.Closing Stock &amp; W Capital'!$D$15))+(C72*'5.Closing Stock &amp; W Capital'!$D$15))*$C$140*E$124</f>
        <v>  -   </v>
      </c>
      <c r="F140" s="116" t="str">
        <f>((E72*(1-'5.Closing Stock &amp; W Capital'!$D$15))+(D72*'5.Closing Stock &amp; W Capital'!$D$15))*$C$140*F$124</f>
        <v>  -   </v>
      </c>
      <c r="G140" s="116" t="str">
        <f>((F72*(1-'5.Closing Stock &amp; W Capital'!$D$15))+(E72*'5.Closing Stock &amp; W Capital'!$D$15))*$C$140*G$124</f>
        <v>  -   </v>
      </c>
      <c r="H140" s="116" t="str">
        <f>((G72*(1-'5.Closing Stock &amp; W Capital'!$D$15))+(F72*'5.Closing Stock &amp; W Capital'!$D$15))*$C$140*H$124</f>
        <v>  -   </v>
      </c>
      <c r="I140" s="116" t="str">
        <f>((H72*(1-'5.Closing Stock &amp; W Capital'!$D$15))+(G72*'5.Closing Stock &amp; W Capital'!$D$15))*$C$140*I$124</f>
        <v>  -   </v>
      </c>
      <c r="J140" s="116" t="str">
        <f>((I72*(1-'5.Closing Stock &amp; W Capital'!$D$15))+(H72*'5.Closing Stock &amp; W Capital'!$D$15))*$C$140*J$124</f>
        <v>  -   </v>
      </c>
      <c r="K140" s="111"/>
      <c r="U140" s="111"/>
      <c r="V140" s="111"/>
      <c r="W140" s="111"/>
    </row>
    <row r="141" ht="14.25" customHeight="1">
      <c r="A141" s="73" t="str">
        <f t="shared" si="55"/>
        <v>Jawar</v>
      </c>
      <c r="B141" s="73"/>
      <c r="C141" s="380"/>
      <c r="D141" s="116" t="str">
        <f>(C73*(1-'5.Closing Stock &amp; W Capital'!$D$15))*$C$141*D$124</f>
        <v>  -   </v>
      </c>
      <c r="E141" s="116" t="str">
        <f>((D73*(1-'5.Closing Stock &amp; W Capital'!$D$15))+(C73*'5.Closing Stock &amp; W Capital'!$D$15))*$C$141*E$124</f>
        <v>  -   </v>
      </c>
      <c r="F141" s="116" t="str">
        <f>((E73*(1-'5.Closing Stock &amp; W Capital'!$D$15))+(D73*'5.Closing Stock &amp; W Capital'!$D$15))*$C$141*F$124</f>
        <v>  -   </v>
      </c>
      <c r="G141" s="116" t="str">
        <f>((F73*(1-'5.Closing Stock &amp; W Capital'!$D$15))+(E73*'5.Closing Stock &amp; W Capital'!$D$15))*$C$141*G$124</f>
        <v>  -   </v>
      </c>
      <c r="H141" s="116" t="str">
        <f>((G73*(1-'5.Closing Stock &amp; W Capital'!$D$15))+(F73*'5.Closing Stock &amp; W Capital'!$D$15))*$C$141*H$124</f>
        <v>  -   </v>
      </c>
      <c r="I141" s="116" t="str">
        <f>((H73*(1-'5.Closing Stock &amp; W Capital'!$D$15))+(G73*'5.Closing Stock &amp; W Capital'!$D$15))*$C$141*I$124</f>
        <v>  -   </v>
      </c>
      <c r="J141" s="116" t="str">
        <f>((I73*(1-'5.Closing Stock &amp; W Capital'!$D$15))+(H73*'5.Closing Stock &amp; W Capital'!$D$15))*$C$141*J$124</f>
        <v>  -   </v>
      </c>
      <c r="K141" s="111"/>
      <c r="U141" s="111"/>
      <c r="V141" s="111"/>
      <c r="W141" s="111"/>
    </row>
    <row r="142" ht="14.25" customHeight="1">
      <c r="A142" s="73" t="str">
        <f t="shared" si="55"/>
        <v>Maize</v>
      </c>
      <c r="B142" s="73"/>
      <c r="C142" s="380"/>
      <c r="D142" s="116" t="str">
        <f>(C74*(1-'5.Closing Stock &amp; W Capital'!$D$15))*$C$142*D$124</f>
        <v>  -   </v>
      </c>
      <c r="E142" s="116" t="str">
        <f>((D74*(1-'5.Closing Stock &amp; W Capital'!$D$15))+(C74*'5.Closing Stock &amp; W Capital'!$D$15))*$C$142*E$124</f>
        <v>  -   </v>
      </c>
      <c r="F142" s="116" t="str">
        <f>((E74*(1-'5.Closing Stock &amp; W Capital'!$D$15))+(D74*'5.Closing Stock &amp; W Capital'!$D$15))*$C$142*F$124</f>
        <v>  -   </v>
      </c>
      <c r="G142" s="116" t="str">
        <f>((F74*(1-'5.Closing Stock &amp; W Capital'!$D$15))+(E74*'5.Closing Stock &amp; W Capital'!$D$15))*$C$142*G$124</f>
        <v>  -   </v>
      </c>
      <c r="H142" s="116" t="str">
        <f>((G74*(1-'5.Closing Stock &amp; W Capital'!$D$15))+(F74*'5.Closing Stock &amp; W Capital'!$D$15))*$C$142*H$124</f>
        <v>  -   </v>
      </c>
      <c r="I142" s="116" t="str">
        <f>((H74*(1-'5.Closing Stock &amp; W Capital'!$D$15))+(G74*'5.Closing Stock &amp; W Capital'!$D$15))*$C$142*I$124</f>
        <v>  -   </v>
      </c>
      <c r="J142" s="116" t="str">
        <f>((I74*(1-'5.Closing Stock &amp; W Capital'!$D$15))+(H74*'5.Closing Stock &amp; W Capital'!$D$15))*$C$142*J$124</f>
        <v>  -   </v>
      </c>
      <c r="K142" s="111"/>
      <c r="U142" s="111"/>
      <c r="V142" s="111"/>
      <c r="W142" s="111"/>
    </row>
    <row r="143" ht="14.25" customHeight="1">
      <c r="A143" s="73" t="str">
        <f t="shared" si="55"/>
        <v>Safflower</v>
      </c>
      <c r="B143" s="73"/>
      <c r="C143" s="380"/>
      <c r="D143" s="116" t="str">
        <f>(C75*(1-'5.Closing Stock &amp; W Capital'!$D$15))*$C$143*D$124</f>
        <v>  -   </v>
      </c>
      <c r="E143" s="116" t="str">
        <f>((D75*(1-'5.Closing Stock &amp; W Capital'!$D$15))+(C75*'5.Closing Stock &amp; W Capital'!$D$15))*$C$143*E$124</f>
        <v>  -   </v>
      </c>
      <c r="F143" s="116" t="str">
        <f>((E75*(1-'5.Closing Stock &amp; W Capital'!$D$15))+(D75*'5.Closing Stock &amp; W Capital'!$D$15))*$C$143*F$124</f>
        <v>  -   </v>
      </c>
      <c r="G143" s="116" t="str">
        <f>((F75*(1-'5.Closing Stock &amp; W Capital'!$D$15))+(E75*'5.Closing Stock &amp; W Capital'!$D$15))*$C$143*G$124</f>
        <v>  -   </v>
      </c>
      <c r="H143" s="116" t="str">
        <f>((G75*(1-'5.Closing Stock &amp; W Capital'!$D$15))+(F75*'5.Closing Stock &amp; W Capital'!$D$15))*$C$143*H$124</f>
        <v>  -   </v>
      </c>
      <c r="I143" s="116" t="str">
        <f>((H75*(1-'5.Closing Stock &amp; W Capital'!$D$15))+(G75*'5.Closing Stock &amp; W Capital'!$D$15))*$C$143*I$124</f>
        <v>  -   </v>
      </c>
      <c r="J143" s="116" t="str">
        <f>((I75*(1-'5.Closing Stock &amp; W Capital'!$D$15))+(H75*'5.Closing Stock &amp; W Capital'!$D$15))*$C$143*J$124</f>
        <v>  -   </v>
      </c>
      <c r="K143" s="111"/>
      <c r="U143" s="111"/>
      <c r="V143" s="111"/>
      <c r="W143" s="111"/>
    </row>
    <row r="144" ht="14.25" customHeight="1">
      <c r="A144" s="73" t="str">
        <f t="shared" si="55"/>
        <v/>
      </c>
      <c r="B144" s="73"/>
      <c r="C144" s="380"/>
      <c r="D144" s="116" t="str">
        <f>(C76*(1-'5.Closing Stock &amp; W Capital'!$D$15))*$C$144*D$124</f>
        <v>  -   </v>
      </c>
      <c r="E144" s="116" t="str">
        <f>((D76*(1-'5.Closing Stock &amp; W Capital'!$D$15))+(C76*'5.Closing Stock &amp; W Capital'!$D$15))*$C$144*E$124</f>
        <v>  -   </v>
      </c>
      <c r="F144" s="116" t="str">
        <f>((E76*(1-'5.Closing Stock &amp; W Capital'!$D$15))+(D76*'5.Closing Stock &amp; W Capital'!$D$15))*$C$144*F$124</f>
        <v>  -   </v>
      </c>
      <c r="G144" s="116" t="str">
        <f>((F76*(1-'5.Closing Stock &amp; W Capital'!$D$15))+(E76*'5.Closing Stock &amp; W Capital'!$D$15))*$C$144*G$124</f>
        <v>  -   </v>
      </c>
      <c r="H144" s="116" t="str">
        <f>((G76*(1-'5.Closing Stock &amp; W Capital'!$D$15))+(F76*'5.Closing Stock &amp; W Capital'!$D$15))*$C$144*H$124</f>
        <v>  -   </v>
      </c>
      <c r="I144" s="116" t="str">
        <f>((H76*(1-'5.Closing Stock &amp; W Capital'!$D$15))+(G76*'5.Closing Stock &amp; W Capital'!$D$15))*$C$144*I$124</f>
        <v>  -   </v>
      </c>
      <c r="J144" s="116" t="str">
        <f>((I76*(1-'5.Closing Stock &amp; W Capital'!$D$15))+(H76*'5.Closing Stock &amp; W Capital'!$D$15))*$C$144*J$124</f>
        <v>  -   </v>
      </c>
      <c r="K144" s="111"/>
      <c r="U144" s="111"/>
      <c r="V144" s="111"/>
      <c r="W144" s="111"/>
    </row>
    <row r="145" ht="14.25" customHeight="1">
      <c r="A145" s="73" t="str">
        <f t="shared" si="55"/>
        <v/>
      </c>
      <c r="B145" s="73"/>
      <c r="C145" s="380"/>
      <c r="D145" s="116" t="str">
        <f>(C77*(1-'5.Closing Stock &amp; W Capital'!$D$15))*$C$145*D$124</f>
        <v>  -   </v>
      </c>
      <c r="E145" s="116" t="str">
        <f>((D77*(1-'5.Closing Stock &amp; W Capital'!$D$15))+(C77*'5.Closing Stock &amp; W Capital'!$D$15))*$C$145*E$124</f>
        <v>  -   </v>
      </c>
      <c r="F145" s="116" t="str">
        <f>((E77*(1-'5.Closing Stock &amp; W Capital'!$D$15))+(D77*'5.Closing Stock &amp; W Capital'!$D$15))*$C$145*F$124</f>
        <v>  -   </v>
      </c>
      <c r="G145" s="116" t="str">
        <f>((F77*(1-'5.Closing Stock &amp; W Capital'!$D$15))+(E77*'5.Closing Stock &amp; W Capital'!$D$15))*$C$145*G$124</f>
        <v>  -   </v>
      </c>
      <c r="H145" s="116" t="str">
        <f>((G77*(1-'5.Closing Stock &amp; W Capital'!$D$15))+(F77*'5.Closing Stock &amp; W Capital'!$D$15))*$C$145*H$124</f>
        <v>  -   </v>
      </c>
      <c r="I145" s="116" t="str">
        <f>((H77*(1-'5.Closing Stock &amp; W Capital'!$D$15))+(G77*'5.Closing Stock &amp; W Capital'!$D$15))*$C$145*I$124</f>
        <v>  -   </v>
      </c>
      <c r="J145" s="116" t="str">
        <f>((I77*(1-'5.Closing Stock &amp; W Capital'!$D$15))+(H77*'5.Closing Stock &amp; W Capital'!$D$15))*$C$145*J$124</f>
        <v>  -   </v>
      </c>
      <c r="K145" s="111"/>
      <c r="U145" s="111"/>
      <c r="V145" s="111"/>
      <c r="W145" s="111"/>
    </row>
    <row r="146" ht="14.25" customHeight="1">
      <c r="A146" s="73" t="str">
        <f t="shared" si="55"/>
        <v/>
      </c>
      <c r="B146" s="73"/>
      <c r="C146" s="380"/>
      <c r="D146" s="116" t="str">
        <f>(C78*(1-'5.Closing Stock &amp; W Capital'!$D$15))*$C$146*D$124</f>
        <v>  -   </v>
      </c>
      <c r="E146" s="116" t="str">
        <f>((D78*(1-'5.Closing Stock &amp; W Capital'!$D$15))+(C78*'5.Closing Stock &amp; W Capital'!$D$15))*$C$146*E$124</f>
        <v>  -   </v>
      </c>
      <c r="F146" s="116" t="str">
        <f>((E78*(1-'5.Closing Stock &amp; W Capital'!$D$15))+(D78*'5.Closing Stock &amp; W Capital'!$D$15))*$C$146*F$124</f>
        <v>  -   </v>
      </c>
      <c r="G146" s="116" t="str">
        <f>((F78*(1-'5.Closing Stock &amp; W Capital'!$D$15))+(E78*'5.Closing Stock &amp; W Capital'!$D$15))*$C$146*G$124</f>
        <v>  -   </v>
      </c>
      <c r="H146" s="116" t="str">
        <f>((G78*(1-'5.Closing Stock &amp; W Capital'!$D$15))+(F78*'5.Closing Stock &amp; W Capital'!$D$15))*$C$146*H$124</f>
        <v>  -   </v>
      </c>
      <c r="I146" s="116" t="str">
        <f>((H78*(1-'5.Closing Stock &amp; W Capital'!$D$15))+(G78*'5.Closing Stock &amp; W Capital'!$D$15))*$C$146*I$124</f>
        <v>  -   </v>
      </c>
      <c r="J146" s="116" t="str">
        <f>((I78*(1-'5.Closing Stock &amp; W Capital'!$D$15))+(H78*'5.Closing Stock &amp; W Capital'!$D$15))*$C$146*J$124</f>
        <v>  -   </v>
      </c>
      <c r="K146" s="111"/>
      <c r="U146" s="111"/>
      <c r="V146" s="111"/>
      <c r="W146" s="111"/>
    </row>
    <row r="147" ht="14.25" customHeight="1">
      <c r="A147" s="117" t="str">
        <f t="shared" si="55"/>
        <v>Summer</v>
      </c>
      <c r="B147" s="73"/>
      <c r="C147" s="380"/>
      <c r="D147" s="116"/>
      <c r="E147" s="116"/>
      <c r="F147" s="116"/>
      <c r="G147" s="116"/>
      <c r="H147" s="116"/>
      <c r="I147" s="116"/>
      <c r="J147" s="116"/>
      <c r="K147" s="111"/>
      <c r="U147" s="111"/>
      <c r="V147" s="111"/>
      <c r="W147" s="111"/>
    </row>
    <row r="148" ht="14.25" customHeight="1">
      <c r="A148" s="73" t="str">
        <f t="shared" si="55"/>
        <v>Groundnut</v>
      </c>
      <c r="B148" s="73"/>
      <c r="C148" s="380"/>
      <c r="D148" s="116" t="str">
        <f>(C80*(1-'5.Closing Stock &amp; W Capital'!$D$15))*$C$148*D$124</f>
        <v>  -   </v>
      </c>
      <c r="E148" s="116" t="str">
        <f>((D80*(1-'5.Closing Stock &amp; W Capital'!$D$15))+(C80*'5.Closing Stock &amp; W Capital'!$D$15))*$C$148*E$124</f>
        <v>  -   </v>
      </c>
      <c r="F148" s="116" t="str">
        <f>((E80*(1-'5.Closing Stock &amp; W Capital'!$D$15))+(D80*'5.Closing Stock &amp; W Capital'!$D$15))*$C$148*F$124</f>
        <v>  -   </v>
      </c>
      <c r="G148" s="116" t="str">
        <f>((F80*(1-'5.Closing Stock &amp; W Capital'!$D$15))+(E80*'5.Closing Stock &amp; W Capital'!$D$15))*$C$148*G$124</f>
        <v>  -   </v>
      </c>
      <c r="H148" s="116" t="str">
        <f>((G80*(1-'5.Closing Stock &amp; W Capital'!$D$15))+(F80*'5.Closing Stock &amp; W Capital'!$D$15))*$C$148*H$124</f>
        <v>  -   </v>
      </c>
      <c r="I148" s="116" t="str">
        <f>((H80*(1-'5.Closing Stock &amp; W Capital'!$D$15))+(G80*'5.Closing Stock &amp; W Capital'!$D$15))*$C$148*I$124</f>
        <v>  -   </v>
      </c>
      <c r="J148" s="116" t="str">
        <f>((I80*(1-'5.Closing Stock &amp; W Capital'!$D$15))+(H80*'5.Closing Stock &amp; W Capital'!$D$15))*$C$148*J$124</f>
        <v>  -   </v>
      </c>
      <c r="K148" s="111"/>
      <c r="U148" s="111"/>
      <c r="V148" s="111"/>
      <c r="W148" s="111"/>
    </row>
    <row r="149" ht="14.25" customHeight="1">
      <c r="A149" s="73" t="str">
        <f t="shared" si="55"/>
        <v/>
      </c>
      <c r="B149" s="73"/>
      <c r="C149" s="380"/>
      <c r="D149" s="116" t="str">
        <f>(C81*(1-'5.Closing Stock &amp; W Capital'!$D$15))*$C$149*D$124</f>
        <v>  -   </v>
      </c>
      <c r="E149" s="116" t="str">
        <f>((D81*(1-'5.Closing Stock &amp; W Capital'!$D$15))+(C81*'5.Closing Stock &amp; W Capital'!$D$15))*$C$149*E$124</f>
        <v>  -   </v>
      </c>
      <c r="F149" s="116" t="str">
        <f>((E81*(1-'5.Closing Stock &amp; W Capital'!$D$15))+(D81*'5.Closing Stock &amp; W Capital'!$D$15))*$C$149*F$124</f>
        <v>  -   </v>
      </c>
      <c r="G149" s="116" t="str">
        <f>((F81*(1-'5.Closing Stock &amp; W Capital'!$D$15))+(E81*'5.Closing Stock &amp; W Capital'!$D$15))*$C$149*G$124</f>
        <v>  -   </v>
      </c>
      <c r="H149" s="116" t="str">
        <f>((G81*(1-'5.Closing Stock &amp; W Capital'!$D$15))+(F81*'5.Closing Stock &amp; W Capital'!$D$15))*$C$149*H$124</f>
        <v>  -   </v>
      </c>
      <c r="I149" s="116" t="str">
        <f>((H81*(1-'5.Closing Stock &amp; W Capital'!$D$15))+(G81*'5.Closing Stock &amp; W Capital'!$D$15))*$C$149*I$124</f>
        <v>  -   </v>
      </c>
      <c r="J149" s="116" t="str">
        <f>((I81*(1-'5.Closing Stock &amp; W Capital'!$D$15))+(H81*'5.Closing Stock &amp; W Capital'!$D$15))*$C$149*J$124</f>
        <v>  -   </v>
      </c>
      <c r="K149" s="111"/>
      <c r="U149" s="111"/>
      <c r="V149" s="111"/>
      <c r="W149" s="111"/>
    </row>
    <row r="150" ht="14.25" customHeight="1">
      <c r="A150" s="73" t="str">
        <f t="shared" si="55"/>
        <v/>
      </c>
      <c r="B150" s="73"/>
      <c r="C150" s="380"/>
      <c r="D150" s="116" t="str">
        <f>(C82*(1-'5.Closing Stock &amp; W Capital'!$D$15))*$C$150*D$124</f>
        <v>  -   </v>
      </c>
      <c r="E150" s="116" t="str">
        <f>((D82*(1-'5.Closing Stock &amp; W Capital'!$D$15))+(C82*'5.Closing Stock &amp; W Capital'!$D$15))*$C$150*E$124</f>
        <v>  -   </v>
      </c>
      <c r="F150" s="116" t="str">
        <f>((E82*(1-'5.Closing Stock &amp; W Capital'!$D$15))+(D82*'5.Closing Stock &amp; W Capital'!$D$15))*$C$150*F$124</f>
        <v>  -   </v>
      </c>
      <c r="G150" s="116" t="str">
        <f>((F82*(1-'5.Closing Stock &amp; W Capital'!$D$15))+(E82*'5.Closing Stock &amp; W Capital'!$D$15))*$C$150*G$124</f>
        <v>  -   </v>
      </c>
      <c r="H150" s="116" t="str">
        <f>((G82*(1-'5.Closing Stock &amp; W Capital'!$D$15))+(F82*'5.Closing Stock &amp; W Capital'!$D$15))*$C$150*H$124</f>
        <v>  -   </v>
      </c>
      <c r="I150" s="116" t="str">
        <f>((H82*(1-'5.Closing Stock &amp; W Capital'!$D$15))+(G82*'5.Closing Stock &amp; W Capital'!$D$15))*$C$150*I$124</f>
        <v>  -   </v>
      </c>
      <c r="J150" s="116" t="str">
        <f>((I82*(1-'5.Closing Stock &amp; W Capital'!$D$15))+(H82*'5.Closing Stock &amp; W Capital'!$D$15))*$C$150*J$124</f>
        <v>  -   </v>
      </c>
      <c r="K150" s="111"/>
      <c r="U150" s="111"/>
      <c r="V150" s="111"/>
      <c r="W150" s="111"/>
    </row>
    <row r="151" ht="14.25" customHeight="1">
      <c r="A151" s="73" t="str">
        <f t="shared" si="55"/>
        <v/>
      </c>
      <c r="B151" s="73"/>
      <c r="C151" s="380"/>
      <c r="D151" s="116" t="str">
        <f>(C83*(1-'5.Closing Stock &amp; W Capital'!$D$15))*$C$151*D$124</f>
        <v>  -   </v>
      </c>
      <c r="E151" s="116" t="str">
        <f>((D83*(1-'5.Closing Stock &amp; W Capital'!$D$15))+(C83*'5.Closing Stock &amp; W Capital'!$D$15))*$C$151*E$124</f>
        <v>  -   </v>
      </c>
      <c r="F151" s="116" t="str">
        <f>((E83*(1-'5.Closing Stock &amp; W Capital'!$D$15))+(D83*'5.Closing Stock &amp; W Capital'!$D$15))*$C$151*F$124</f>
        <v>  -   </v>
      </c>
      <c r="G151" s="116" t="str">
        <f>((F83*(1-'5.Closing Stock &amp; W Capital'!$D$15))+(E83*'5.Closing Stock &amp; W Capital'!$D$15))*$C$151*G$124</f>
        <v>  -   </v>
      </c>
      <c r="H151" s="116" t="str">
        <f>((G83*(1-'5.Closing Stock &amp; W Capital'!$D$15))+(F83*'5.Closing Stock &amp; W Capital'!$D$15))*$C$151*H$124</f>
        <v>  -   </v>
      </c>
      <c r="I151" s="116" t="str">
        <f>((H83*(1-'5.Closing Stock &amp; W Capital'!$D$15))+(G83*'5.Closing Stock &amp; W Capital'!$D$15))*$C$151*I$124</f>
        <v>  -   </v>
      </c>
      <c r="J151" s="116" t="str">
        <f>((I83*(1-'5.Closing Stock &amp; W Capital'!$D$15))+(H83*'5.Closing Stock &amp; W Capital'!$D$15))*$C$151*J$124</f>
        <v>  -   </v>
      </c>
      <c r="K151" s="111"/>
      <c r="U151" s="111"/>
      <c r="V151" s="111"/>
      <c r="W151" s="111"/>
    </row>
    <row r="152" ht="14.25" customHeight="1">
      <c r="A152" s="73" t="str">
        <f t="shared" si="55"/>
        <v/>
      </c>
      <c r="B152" s="73"/>
      <c r="C152" s="380"/>
      <c r="D152" s="116" t="str">
        <f>(C84*(1-'5.Closing Stock &amp; W Capital'!$D$15))*$C$152*D$124</f>
        <v>  -   </v>
      </c>
      <c r="E152" s="116" t="str">
        <f>((D84*(1-'5.Closing Stock &amp; W Capital'!$D$15))+(C84*'5.Closing Stock &amp; W Capital'!$D$15))*$C$152*E$124</f>
        <v>  -   </v>
      </c>
      <c r="F152" s="116" t="str">
        <f>((E84*(1-'5.Closing Stock &amp; W Capital'!$D$15))+(D84*'5.Closing Stock &amp; W Capital'!$D$15))*$C$152*F$124</f>
        <v>  -   </v>
      </c>
      <c r="G152" s="116" t="str">
        <f>((F84*(1-'5.Closing Stock &amp; W Capital'!$D$15))+(E84*'5.Closing Stock &amp; W Capital'!$D$15))*$C$152*G$124</f>
        <v>  -   </v>
      </c>
      <c r="H152" s="116" t="str">
        <f>((G84*(1-'5.Closing Stock &amp; W Capital'!$D$15))+(F84*'5.Closing Stock &amp; W Capital'!$D$15))*$C$152*H$124</f>
        <v>  -   </v>
      </c>
      <c r="I152" s="116" t="str">
        <f>((H84*(1-'5.Closing Stock &amp; W Capital'!$D$15))+(G84*'5.Closing Stock &amp; W Capital'!$D$15))*$C$152*I$124</f>
        <v>  -   </v>
      </c>
      <c r="J152" s="116" t="str">
        <f>((I84*(1-'5.Closing Stock &amp; W Capital'!$D$15))+(H84*'5.Closing Stock &amp; W Capital'!$D$15))*$C$152*J$124</f>
        <v>  -   </v>
      </c>
      <c r="K152" s="111"/>
      <c r="U152" s="111"/>
      <c r="V152" s="111"/>
      <c r="W152" s="111"/>
    </row>
    <row r="153" ht="14.25" customHeight="1">
      <c r="A153" s="73" t="str">
        <f t="shared" si="55"/>
        <v>Fruit  &amp; Vegetables Crop Production Details</v>
      </c>
      <c r="B153" s="73"/>
      <c r="C153" s="380"/>
      <c r="D153" s="116"/>
      <c r="E153" s="116"/>
      <c r="F153" s="116"/>
      <c r="G153" s="116"/>
      <c r="H153" s="116"/>
      <c r="I153" s="116"/>
      <c r="J153" s="116"/>
      <c r="K153" s="111"/>
      <c r="U153" s="111"/>
      <c r="V153" s="111"/>
      <c r="W153" s="111"/>
    </row>
    <row r="154" ht="14.25" customHeight="1">
      <c r="A154" s="73" t="str">
        <f t="shared" si="55"/>
        <v>Onion</v>
      </c>
      <c r="B154" s="73"/>
      <c r="C154" s="380"/>
      <c r="D154" s="116" t="str">
        <f>(C86*(1-'5.Closing Stock &amp; W Capital'!$D$15))*$C154*D$124</f>
        <v>  -   </v>
      </c>
      <c r="E154" s="116" t="str">
        <f>((D86*(1-'5.Closing Stock &amp; W Capital'!$D$15))+(C86*'5.Closing Stock &amp; W Capital'!$D$15))*$C154*E$124</f>
        <v>  -   </v>
      </c>
      <c r="F154" s="116" t="str">
        <f>((E86*(1-'5.Closing Stock &amp; W Capital'!$D$15))+(D86*'5.Closing Stock &amp; W Capital'!$D$15))*$C154*F$124</f>
        <v>  -   </v>
      </c>
      <c r="G154" s="116" t="str">
        <f>((F86*(1-'5.Closing Stock &amp; W Capital'!$D$15))+(E86*'5.Closing Stock &amp; W Capital'!$D$15))*$C154*G$124</f>
        <v>  -   </v>
      </c>
      <c r="H154" s="116" t="str">
        <f>((G86*(1-'5.Closing Stock &amp; W Capital'!$D$15))+(F86*'5.Closing Stock &amp; W Capital'!$D$15))*$C154*H$124</f>
        <v>  -   </v>
      </c>
      <c r="I154" s="116" t="str">
        <f>((H86*(1-'5.Closing Stock &amp; W Capital'!$D$15))+(G86*'5.Closing Stock &amp; W Capital'!$D$15))*$C154*I$124</f>
        <v>  -   </v>
      </c>
      <c r="J154" s="116" t="str">
        <f>((I86*(1-'5.Closing Stock &amp; W Capital'!$D$15))+(H86*'5.Closing Stock &amp; W Capital'!$D$15))*$C154*J$124</f>
        <v>  -   </v>
      </c>
      <c r="K154" s="111"/>
      <c r="U154" s="111"/>
      <c r="V154" s="111"/>
      <c r="W154" s="111"/>
    </row>
    <row r="155" ht="14.25" customHeight="1">
      <c r="A155" s="73" t="str">
        <f t="shared" si="55"/>
        <v>Tomato</v>
      </c>
      <c r="B155" s="73"/>
      <c r="C155" s="380"/>
      <c r="D155" s="116" t="str">
        <f>(C87*(1-'5.Closing Stock &amp; W Capital'!$D$15))*$C155*D$124</f>
        <v>  -   </v>
      </c>
      <c r="E155" s="116" t="str">
        <f>((D87*(1-'5.Closing Stock &amp; W Capital'!$D$15))+(C87*'5.Closing Stock &amp; W Capital'!$D$15))*$C155*E$124</f>
        <v>  -   </v>
      </c>
      <c r="F155" s="116" t="str">
        <f>((E87*(1-'5.Closing Stock &amp; W Capital'!$D$15))+(D87*'5.Closing Stock &amp; W Capital'!$D$15))*$C155*F$124</f>
        <v>  -   </v>
      </c>
      <c r="G155" s="116" t="str">
        <f>((F87*(1-'5.Closing Stock &amp; W Capital'!$D$15))+(E87*'5.Closing Stock &amp; W Capital'!$D$15))*$C155*G$124</f>
        <v>  -   </v>
      </c>
      <c r="H155" s="116" t="str">
        <f>((G87*(1-'5.Closing Stock &amp; W Capital'!$D$15))+(F87*'5.Closing Stock &amp; W Capital'!$D$15))*$C155*H$124</f>
        <v>  -   </v>
      </c>
      <c r="I155" s="116" t="str">
        <f>((H87*(1-'5.Closing Stock &amp; W Capital'!$D$15))+(G87*'5.Closing Stock &amp; W Capital'!$D$15))*$C155*I$124</f>
        <v>  -   </v>
      </c>
      <c r="J155" s="116" t="str">
        <f>((I87*(1-'5.Closing Stock &amp; W Capital'!$D$15))+(H87*'5.Closing Stock &amp; W Capital'!$D$15))*$C155*J$124</f>
        <v>  -   </v>
      </c>
      <c r="K155" s="111"/>
      <c r="U155" s="111"/>
      <c r="V155" s="111"/>
      <c r="W155" s="111"/>
    </row>
    <row r="156" ht="14.25" customHeight="1">
      <c r="A156" s="73" t="str">
        <f t="shared" si="55"/>
        <v>Okra</v>
      </c>
      <c r="B156" s="73"/>
      <c r="C156" s="380"/>
      <c r="D156" s="116" t="str">
        <f>(C88*(1-'5.Closing Stock &amp; W Capital'!$D$15))*$C156*D$124</f>
        <v>  -   </v>
      </c>
      <c r="E156" s="116" t="str">
        <f>((D88*(1-'5.Closing Stock &amp; W Capital'!$D$15))+(C88*'5.Closing Stock &amp; W Capital'!$D$15))*$C156*E$124</f>
        <v>  -   </v>
      </c>
      <c r="F156" s="116" t="str">
        <f>((E88*(1-'5.Closing Stock &amp; W Capital'!$D$15))+(D88*'5.Closing Stock &amp; W Capital'!$D$15))*$C156*F$124</f>
        <v>  -   </v>
      </c>
      <c r="G156" s="116" t="str">
        <f>((F88*(1-'5.Closing Stock &amp; W Capital'!$D$15))+(E88*'5.Closing Stock &amp; W Capital'!$D$15))*$C156*G$124</f>
        <v>  -   </v>
      </c>
      <c r="H156" s="116" t="str">
        <f>((G88*(1-'5.Closing Stock &amp; W Capital'!$D$15))+(F88*'5.Closing Stock &amp; W Capital'!$D$15))*$C156*H$124</f>
        <v>  -   </v>
      </c>
      <c r="I156" s="116" t="str">
        <f>((H88*(1-'5.Closing Stock &amp; W Capital'!$D$15))+(G88*'5.Closing Stock &amp; W Capital'!$D$15))*$C156*I$124</f>
        <v>  -   </v>
      </c>
      <c r="J156" s="116" t="str">
        <f>((I88*(1-'5.Closing Stock &amp; W Capital'!$D$15))+(H88*'5.Closing Stock &amp; W Capital'!$D$15))*$C156*J$124</f>
        <v>  -   </v>
      </c>
      <c r="K156" s="111"/>
      <c r="U156" s="111"/>
      <c r="V156" s="111"/>
      <c r="W156" s="111"/>
    </row>
    <row r="157" ht="14.25" customHeight="1">
      <c r="A157" s="73" t="str">
        <f t="shared" si="55"/>
        <v>Chilli</v>
      </c>
      <c r="B157" s="73"/>
      <c r="C157" s="380"/>
      <c r="D157" s="116" t="str">
        <f>(C89*(1-'5.Closing Stock &amp; W Capital'!$D$15))*$C157*D$124</f>
        <v>  -   </v>
      </c>
      <c r="E157" s="116" t="str">
        <f>((D89*(1-'5.Closing Stock &amp; W Capital'!$D$15))+(C89*'5.Closing Stock &amp; W Capital'!$D$15))*$C157*E$124</f>
        <v>  -   </v>
      </c>
      <c r="F157" s="116" t="str">
        <f>((E89*(1-'5.Closing Stock &amp; W Capital'!$D$15))+(D89*'5.Closing Stock &amp; W Capital'!$D$15))*$C157*F$124</f>
        <v>  -   </v>
      </c>
      <c r="G157" s="116" t="str">
        <f>((F89*(1-'5.Closing Stock &amp; W Capital'!$D$15))+(E89*'5.Closing Stock &amp; W Capital'!$D$15))*$C157*G$124</f>
        <v>  -   </v>
      </c>
      <c r="H157" s="116" t="str">
        <f>((G89*(1-'5.Closing Stock &amp; W Capital'!$D$15))+(F89*'5.Closing Stock &amp; W Capital'!$D$15))*$C157*H$124</f>
        <v>  -   </v>
      </c>
      <c r="I157" s="116" t="str">
        <f>((H89*(1-'5.Closing Stock &amp; W Capital'!$D$15))+(G89*'5.Closing Stock &amp; W Capital'!$D$15))*$C157*I$124</f>
        <v>  -   </v>
      </c>
      <c r="J157" s="116" t="str">
        <f>((I89*(1-'5.Closing Stock &amp; W Capital'!$D$15))+(H89*'5.Closing Stock &amp; W Capital'!$D$15))*$C157*J$124</f>
        <v>  -   </v>
      </c>
      <c r="K157" s="111"/>
      <c r="U157" s="111"/>
      <c r="V157" s="111"/>
      <c r="W157" s="111"/>
    </row>
    <row r="158" ht="14.25" customHeight="1">
      <c r="A158" s="73" t="str">
        <f t="shared" si="55"/>
        <v>Potato</v>
      </c>
      <c r="B158" s="73"/>
      <c r="C158" s="380"/>
      <c r="D158" s="116" t="str">
        <f>(C90*(1-'5.Closing Stock &amp; W Capital'!$D$15))*$C158*D$124</f>
        <v>  -   </v>
      </c>
      <c r="E158" s="116" t="str">
        <f>((D90*(1-'5.Closing Stock &amp; W Capital'!$D$15))+(C90*'5.Closing Stock &amp; W Capital'!$D$15))*$C158*E$124</f>
        <v>  -   </v>
      </c>
      <c r="F158" s="116" t="str">
        <f>((E90*(1-'5.Closing Stock &amp; W Capital'!$D$15))+(D90*'5.Closing Stock &amp; W Capital'!$D$15))*$C158*F$124</f>
        <v>  -   </v>
      </c>
      <c r="G158" s="116" t="str">
        <f>((F90*(1-'5.Closing Stock &amp; W Capital'!$D$15))+(E90*'5.Closing Stock &amp; W Capital'!$D$15))*$C158*G$124</f>
        <v>  -   </v>
      </c>
      <c r="H158" s="116" t="str">
        <f>((G90*(1-'5.Closing Stock &amp; W Capital'!$D$15))+(F90*'5.Closing Stock &amp; W Capital'!$D$15))*$C158*H$124</f>
        <v>  -   </v>
      </c>
      <c r="I158" s="116" t="str">
        <f>((H90*(1-'5.Closing Stock &amp; W Capital'!$D$15))+(G90*'5.Closing Stock &amp; W Capital'!$D$15))*$C158*I$124</f>
        <v>  -   </v>
      </c>
      <c r="J158" s="116" t="str">
        <f>((I90*(1-'5.Closing Stock &amp; W Capital'!$D$15))+(H90*'5.Closing Stock &amp; W Capital'!$D$15))*$C158*J$124</f>
        <v>  -   </v>
      </c>
      <c r="K158" s="111"/>
      <c r="U158" s="111"/>
      <c r="V158" s="111"/>
      <c r="W158" s="111"/>
    </row>
    <row r="159" ht="14.25" customHeight="1">
      <c r="A159" s="73" t="str">
        <f t="shared" si="55"/>
        <v/>
      </c>
      <c r="B159" s="73"/>
      <c r="C159" s="380"/>
      <c r="D159" s="116" t="str">
        <f>(C91*(1-'5.Closing Stock &amp; W Capital'!$D$15))*$C159*D$124</f>
        <v>  -   </v>
      </c>
      <c r="E159" s="116" t="str">
        <f>((D91*(1-'5.Closing Stock &amp; W Capital'!$D$15))+(C91*'5.Closing Stock &amp; W Capital'!$D$15))*$C159*E$124</f>
        <v>  -   </v>
      </c>
      <c r="F159" s="116" t="str">
        <f>((E91*(1-'5.Closing Stock &amp; W Capital'!$D$15))+(D91*'5.Closing Stock &amp; W Capital'!$D$15))*$C159*F$124</f>
        <v>  -   </v>
      </c>
      <c r="G159" s="116" t="str">
        <f>((F91*(1-'5.Closing Stock &amp; W Capital'!$D$15))+(E91*'5.Closing Stock &amp; W Capital'!$D$15))*$C159*G$124</f>
        <v>  -   </v>
      </c>
      <c r="H159" s="116" t="str">
        <f>((G91*(1-'5.Closing Stock &amp; W Capital'!$D$15))+(F91*'5.Closing Stock &amp; W Capital'!$D$15))*$C159*H$124</f>
        <v>  -   </v>
      </c>
      <c r="I159" s="116" t="str">
        <f>((H91*(1-'5.Closing Stock &amp; W Capital'!$D$15))+(G91*'5.Closing Stock &amp; W Capital'!$D$15))*$C159*I$124</f>
        <v>  -   </v>
      </c>
      <c r="J159" s="116" t="str">
        <f>((I91*(1-'5.Closing Stock &amp; W Capital'!$D$15))+(H91*'5.Closing Stock &amp; W Capital'!$D$15))*$C159*J$124</f>
        <v>  -   </v>
      </c>
      <c r="K159" s="111"/>
      <c r="U159" s="111"/>
      <c r="V159" s="111"/>
      <c r="W159" s="111"/>
    </row>
    <row r="160" ht="14.25" customHeight="1">
      <c r="A160" s="73" t="str">
        <f t="shared" si="55"/>
        <v/>
      </c>
      <c r="B160" s="73"/>
      <c r="C160" s="380"/>
      <c r="D160" s="116" t="str">
        <f>(C92*(1-'5.Closing Stock &amp; W Capital'!$D$15))*$C160*D$124</f>
        <v>  -   </v>
      </c>
      <c r="E160" s="116" t="str">
        <f>((D92*(1-'5.Closing Stock &amp; W Capital'!$D$15))+(C92*'5.Closing Stock &amp; W Capital'!$D$15))*$C160*E$124</f>
        <v>  -   </v>
      </c>
      <c r="F160" s="116" t="str">
        <f>((E92*(1-'5.Closing Stock &amp; W Capital'!$D$15))+(D92*'5.Closing Stock &amp; W Capital'!$D$15))*$C160*F$124</f>
        <v>  -   </v>
      </c>
      <c r="G160" s="116" t="str">
        <f>((F92*(1-'5.Closing Stock &amp; W Capital'!$D$15))+(E92*'5.Closing Stock &amp; W Capital'!$D$15))*$C160*G$124</f>
        <v>  -   </v>
      </c>
      <c r="H160" s="116" t="str">
        <f>((G92*(1-'5.Closing Stock &amp; W Capital'!$D$15))+(F92*'5.Closing Stock &amp; W Capital'!$D$15))*$C160*H$124</f>
        <v>  -   </v>
      </c>
      <c r="I160" s="116" t="str">
        <f>((H92*(1-'5.Closing Stock &amp; W Capital'!$D$15))+(G92*'5.Closing Stock &amp; W Capital'!$D$15))*$C160*I$124</f>
        <v>  -   </v>
      </c>
      <c r="J160" s="116" t="str">
        <f>((I92*(1-'5.Closing Stock &amp; W Capital'!$D$15))+(H92*'5.Closing Stock &amp; W Capital'!$D$15))*$C160*J$124</f>
        <v>  -   </v>
      </c>
      <c r="K160" s="111"/>
      <c r="U160" s="111"/>
      <c r="V160" s="111"/>
      <c r="W160" s="111"/>
    </row>
    <row r="161" ht="14.25" customHeight="1">
      <c r="A161" s="73" t="str">
        <f t="shared" si="55"/>
        <v/>
      </c>
      <c r="B161" s="73"/>
      <c r="C161" s="380"/>
      <c r="D161" s="116" t="str">
        <f>(C93*(1-'5.Closing Stock &amp; W Capital'!$D$15))*$C161*D$124</f>
        <v>  -   </v>
      </c>
      <c r="E161" s="116" t="str">
        <f>((D93*(1-'5.Closing Stock &amp; W Capital'!$D$15))+(C93*'5.Closing Stock &amp; W Capital'!$D$15))*$C161*E$124</f>
        <v>  -   </v>
      </c>
      <c r="F161" s="116" t="str">
        <f>((E93*(1-'5.Closing Stock &amp; W Capital'!$D$15))+(D93*'5.Closing Stock &amp; W Capital'!$D$15))*$C161*F$124</f>
        <v>  -   </v>
      </c>
      <c r="G161" s="116" t="str">
        <f>((F93*(1-'5.Closing Stock &amp; W Capital'!$D$15))+(E93*'5.Closing Stock &amp; W Capital'!$D$15))*$C161*G$124</f>
        <v>  -   </v>
      </c>
      <c r="H161" s="116" t="str">
        <f>((G93*(1-'5.Closing Stock &amp; W Capital'!$D$15))+(F93*'5.Closing Stock &amp; W Capital'!$D$15))*$C161*H$124</f>
        <v>  -   </v>
      </c>
      <c r="I161" s="116" t="str">
        <f>((H93*(1-'5.Closing Stock &amp; W Capital'!$D$15))+(G93*'5.Closing Stock &amp; W Capital'!$D$15))*$C161*I$124</f>
        <v>  -   </v>
      </c>
      <c r="J161" s="116" t="str">
        <f>((I93*(1-'5.Closing Stock &amp; W Capital'!$D$15))+(H93*'5.Closing Stock &amp; W Capital'!$D$15))*$C161*J$124</f>
        <v>  -   </v>
      </c>
      <c r="K161" s="111"/>
      <c r="U161" s="111"/>
      <c r="V161" s="111"/>
      <c r="W161" s="111"/>
    </row>
    <row r="162" ht="14.25" customHeight="1">
      <c r="A162" s="73" t="str">
        <f t="shared" si="55"/>
        <v/>
      </c>
      <c r="B162" s="73"/>
      <c r="C162" s="380"/>
      <c r="D162" s="116" t="str">
        <f>(C94*(1-'5.Closing Stock &amp; W Capital'!$D$15))*$C162*D$124</f>
        <v>  -   </v>
      </c>
      <c r="E162" s="116" t="str">
        <f>((D94*(1-'5.Closing Stock &amp; W Capital'!$D$15))+(C94*'5.Closing Stock &amp; W Capital'!$D$15))*$C162*E$124</f>
        <v>  -   </v>
      </c>
      <c r="F162" s="116" t="str">
        <f>((E94*(1-'5.Closing Stock &amp; W Capital'!$D$15))+(D94*'5.Closing Stock &amp; W Capital'!$D$15))*$C162*F$124</f>
        <v>  -   </v>
      </c>
      <c r="G162" s="116" t="str">
        <f>((F94*(1-'5.Closing Stock &amp; W Capital'!$D$15))+(E94*'5.Closing Stock &amp; W Capital'!$D$15))*$C162*G$124</f>
        <v>  -   </v>
      </c>
      <c r="H162" s="116" t="str">
        <f>((G94*(1-'5.Closing Stock &amp; W Capital'!$D$15))+(F94*'5.Closing Stock &amp; W Capital'!$D$15))*$C162*H$124</f>
        <v>  -   </v>
      </c>
      <c r="I162" s="116" t="str">
        <f>((H94*(1-'5.Closing Stock &amp; W Capital'!$D$15))+(G94*'5.Closing Stock &amp; W Capital'!$D$15))*$C162*I$124</f>
        <v>  -   </v>
      </c>
      <c r="J162" s="116" t="str">
        <f>((I94*(1-'5.Closing Stock &amp; W Capital'!$D$15))+(H94*'5.Closing Stock &amp; W Capital'!$D$15))*$C162*J$124</f>
        <v>  -   </v>
      </c>
      <c r="K162" s="111"/>
      <c r="U162" s="111"/>
      <c r="V162" s="111"/>
      <c r="W162" s="111"/>
    </row>
    <row r="163" ht="14.25" customHeight="1">
      <c r="A163" s="73" t="str">
        <f t="shared" si="55"/>
        <v>Onion</v>
      </c>
      <c r="B163" s="73"/>
      <c r="C163" s="380"/>
      <c r="D163" s="116" t="str">
        <f>(C95*(1-'5.Closing Stock &amp; W Capital'!$D$15))*$C163*D$124</f>
        <v>  -   </v>
      </c>
      <c r="E163" s="116" t="str">
        <f>((D95*(1-'5.Closing Stock &amp; W Capital'!$D$15))+(C95*'5.Closing Stock &amp; W Capital'!$D$15))*$C163*E$124</f>
        <v>  -   </v>
      </c>
      <c r="F163" s="116" t="str">
        <f>((E95*(1-'5.Closing Stock &amp; W Capital'!$D$15))+(D95*'5.Closing Stock &amp; W Capital'!$D$15))*$C163*F$124</f>
        <v>  -   </v>
      </c>
      <c r="G163" s="116" t="str">
        <f>((F95*(1-'5.Closing Stock &amp; W Capital'!$D$15))+(E95*'5.Closing Stock &amp; W Capital'!$D$15))*$C163*G$124</f>
        <v>  -   </v>
      </c>
      <c r="H163" s="116" t="str">
        <f>((G95*(1-'5.Closing Stock &amp; W Capital'!$D$15))+(F95*'5.Closing Stock &amp; W Capital'!$D$15))*$C163*H$124</f>
        <v>  -   </v>
      </c>
      <c r="I163" s="116" t="str">
        <f>((H95*(1-'5.Closing Stock &amp; W Capital'!$D$15))+(G95*'5.Closing Stock &amp; W Capital'!$D$15))*$C163*I$124</f>
        <v>  -   </v>
      </c>
      <c r="J163" s="116" t="str">
        <f>((I95*(1-'5.Closing Stock &amp; W Capital'!$D$15))+(H95*'5.Closing Stock &amp; W Capital'!$D$15))*$C163*J$124</f>
        <v>  -   </v>
      </c>
      <c r="K163" s="111"/>
      <c r="U163" s="111"/>
      <c r="V163" s="111"/>
      <c r="W163" s="111"/>
    </row>
    <row r="164" ht="14.25" customHeight="1">
      <c r="A164" s="73" t="str">
        <f t="shared" si="55"/>
        <v>Tomato</v>
      </c>
      <c r="B164" s="73"/>
      <c r="C164" s="380"/>
      <c r="D164" s="116" t="str">
        <f>(C96*(1-'5.Closing Stock &amp; W Capital'!$D$15))*$C164*D$124</f>
        <v>  -   </v>
      </c>
      <c r="E164" s="116" t="str">
        <f>((D96*(1-'5.Closing Stock &amp; W Capital'!$D$15))+(C96*'5.Closing Stock &amp; W Capital'!$D$15))*$C164*E$124</f>
        <v>  -   </v>
      </c>
      <c r="F164" s="116" t="str">
        <f>((E96*(1-'5.Closing Stock &amp; W Capital'!$D$15))+(D96*'5.Closing Stock &amp; W Capital'!$D$15))*$C164*F$124</f>
        <v>  -   </v>
      </c>
      <c r="G164" s="116" t="str">
        <f>((F96*(1-'5.Closing Stock &amp; W Capital'!$D$15))+(E96*'5.Closing Stock &amp; W Capital'!$D$15))*$C164*G$124</f>
        <v>  -   </v>
      </c>
      <c r="H164" s="116" t="str">
        <f>((G96*(1-'5.Closing Stock &amp; W Capital'!$D$15))+(F96*'5.Closing Stock &amp; W Capital'!$D$15))*$C164*H$124</f>
        <v>  -   </v>
      </c>
      <c r="I164" s="116" t="str">
        <f>((H96*(1-'5.Closing Stock &amp; W Capital'!$D$15))+(G96*'5.Closing Stock &amp; W Capital'!$D$15))*$C164*I$124</f>
        <v>  -   </v>
      </c>
      <c r="J164" s="116" t="str">
        <f>((I96*(1-'5.Closing Stock &amp; W Capital'!$D$15))+(H96*'5.Closing Stock &amp; W Capital'!$D$15))*$C164*J$124</f>
        <v>  -   </v>
      </c>
      <c r="K164" s="111"/>
      <c r="U164" s="111"/>
      <c r="V164" s="111"/>
      <c r="W164" s="111"/>
    </row>
    <row r="165" ht="14.25" customHeight="1">
      <c r="A165" s="73" t="str">
        <f t="shared" si="55"/>
        <v>Okra</v>
      </c>
      <c r="B165" s="73"/>
      <c r="C165" s="380"/>
      <c r="D165" s="116" t="str">
        <f>(C97*(1-'5.Closing Stock &amp; W Capital'!$D$15))*$C165*D$124</f>
        <v>  -   </v>
      </c>
      <c r="E165" s="116" t="str">
        <f>((D97*(1-'5.Closing Stock &amp; W Capital'!$D$15))+(C97*'5.Closing Stock &amp; W Capital'!$D$15))*$C165*E$124</f>
        <v>  -   </v>
      </c>
      <c r="F165" s="116" t="str">
        <f>((E97*(1-'5.Closing Stock &amp; W Capital'!$D$15))+(D97*'5.Closing Stock &amp; W Capital'!$D$15))*$C165*F$124</f>
        <v>  -   </v>
      </c>
      <c r="G165" s="116" t="str">
        <f>((F97*(1-'5.Closing Stock &amp; W Capital'!$D$15))+(E97*'5.Closing Stock &amp; W Capital'!$D$15))*$C165*G$124</f>
        <v>  -   </v>
      </c>
      <c r="H165" s="116" t="str">
        <f>((G97*(1-'5.Closing Stock &amp; W Capital'!$D$15))+(F97*'5.Closing Stock &amp; W Capital'!$D$15))*$C165*H$124</f>
        <v>  -   </v>
      </c>
      <c r="I165" s="116" t="str">
        <f>((H97*(1-'5.Closing Stock &amp; W Capital'!$D$15))+(G97*'5.Closing Stock &amp; W Capital'!$D$15))*$C165*I$124</f>
        <v>  -   </v>
      </c>
      <c r="J165" s="116" t="str">
        <f>((I97*(1-'5.Closing Stock &amp; W Capital'!$D$15))+(H97*'5.Closing Stock &amp; W Capital'!$D$15))*$C165*J$124</f>
        <v>  -   </v>
      </c>
      <c r="K165" s="111"/>
      <c r="U165" s="111"/>
      <c r="V165" s="111"/>
      <c r="W165" s="111"/>
    </row>
    <row r="166" ht="14.25" customHeight="1">
      <c r="A166" s="73" t="str">
        <f t="shared" si="55"/>
        <v>Chilli</v>
      </c>
      <c r="B166" s="73"/>
      <c r="C166" s="380"/>
      <c r="D166" s="116" t="str">
        <f>(C98*(1-'5.Closing Stock &amp; W Capital'!$D$15))*$C166*D$124</f>
        <v>  -   </v>
      </c>
      <c r="E166" s="116" t="str">
        <f>((D98*(1-'5.Closing Stock &amp; W Capital'!$D$15))+(C98*'5.Closing Stock &amp; W Capital'!$D$15))*$C166*E$124</f>
        <v>  -   </v>
      </c>
      <c r="F166" s="116" t="str">
        <f>((E98*(1-'5.Closing Stock &amp; W Capital'!$D$15))+(D98*'5.Closing Stock &amp; W Capital'!$D$15))*$C166*F$124</f>
        <v>  -   </v>
      </c>
      <c r="G166" s="116" t="str">
        <f>((F98*(1-'5.Closing Stock &amp; W Capital'!$D$15))+(E98*'5.Closing Stock &amp; W Capital'!$D$15))*$C166*G$124</f>
        <v>  -   </v>
      </c>
      <c r="H166" s="116" t="str">
        <f>((G98*(1-'5.Closing Stock &amp; W Capital'!$D$15))+(F98*'5.Closing Stock &amp; W Capital'!$D$15))*$C166*H$124</f>
        <v>  -   </v>
      </c>
      <c r="I166" s="116" t="str">
        <f>((H98*(1-'5.Closing Stock &amp; W Capital'!$D$15))+(G98*'5.Closing Stock &amp; W Capital'!$D$15))*$C166*I$124</f>
        <v>  -   </v>
      </c>
      <c r="J166" s="116" t="str">
        <f>((I98*(1-'5.Closing Stock &amp; W Capital'!$D$15))+(H98*'5.Closing Stock &amp; W Capital'!$D$15))*$C166*J$124</f>
        <v>  -   </v>
      </c>
      <c r="K166" s="111"/>
      <c r="U166" s="111"/>
      <c r="V166" s="111"/>
      <c r="W166" s="111"/>
    </row>
    <row r="167" ht="14.25" customHeight="1">
      <c r="A167" s="73" t="str">
        <f t="shared" si="55"/>
        <v>Brinjal</v>
      </c>
      <c r="B167" s="73"/>
      <c r="C167" s="380"/>
      <c r="D167" s="116" t="str">
        <f>(C99*(1-'5.Closing Stock &amp; W Capital'!$D$15))*$C167*D$124</f>
        <v>  -   </v>
      </c>
      <c r="E167" s="116" t="str">
        <f>((D99*(1-'5.Closing Stock &amp; W Capital'!$D$15))+(C99*'5.Closing Stock &amp; W Capital'!$D$15))*$C167*E$124</f>
        <v>  -   </v>
      </c>
      <c r="F167" s="116" t="str">
        <f>((E99*(1-'5.Closing Stock &amp; W Capital'!$D$15))+(D99*'5.Closing Stock &amp; W Capital'!$D$15))*$C167*F$124</f>
        <v>  -   </v>
      </c>
      <c r="G167" s="116" t="str">
        <f>((F99*(1-'5.Closing Stock &amp; W Capital'!$D$15))+(E99*'5.Closing Stock &amp; W Capital'!$D$15))*$C167*G$124</f>
        <v>  -   </v>
      </c>
      <c r="H167" s="116" t="str">
        <f>((G99*(1-'5.Closing Stock &amp; W Capital'!$D$15))+(F99*'5.Closing Stock &amp; W Capital'!$D$15))*$C167*H$124</f>
        <v>  -   </v>
      </c>
      <c r="I167" s="116" t="str">
        <f>((H99*(1-'5.Closing Stock &amp; W Capital'!$D$15))+(G99*'5.Closing Stock &amp; W Capital'!$D$15))*$C167*I$124</f>
        <v>  -   </v>
      </c>
      <c r="J167" s="116" t="str">
        <f>((I99*(1-'5.Closing Stock &amp; W Capital'!$D$15))+(H99*'5.Closing Stock &amp; W Capital'!$D$15))*$C167*J$124</f>
        <v>  -   </v>
      </c>
      <c r="K167" s="111"/>
      <c r="U167" s="111"/>
      <c r="V167" s="111"/>
      <c r="W167" s="111"/>
    </row>
    <row r="168" ht="14.25" customHeight="1">
      <c r="A168" s="73" t="str">
        <f t="shared" si="55"/>
        <v/>
      </c>
      <c r="B168" s="73"/>
      <c r="C168" s="380"/>
      <c r="D168" s="116" t="str">
        <f>(C100*(1-'5.Closing Stock &amp; W Capital'!$D$15))*$C168*D$124</f>
        <v>  -   </v>
      </c>
      <c r="E168" s="116" t="str">
        <f>((D100*(1-'5.Closing Stock &amp; W Capital'!$D$15))+(C100*'5.Closing Stock &amp; W Capital'!$D$15))*$C168*E$124</f>
        <v>  -   </v>
      </c>
      <c r="F168" s="116" t="str">
        <f>((E100*(1-'5.Closing Stock &amp; W Capital'!$D$15))+(D100*'5.Closing Stock &amp; W Capital'!$D$15))*$C168*F$124</f>
        <v>  -   </v>
      </c>
      <c r="G168" s="116" t="str">
        <f>((F100*(1-'5.Closing Stock &amp; W Capital'!$D$15))+(E100*'5.Closing Stock &amp; W Capital'!$D$15))*$C168*G$124</f>
        <v>  -   </v>
      </c>
      <c r="H168" s="116" t="str">
        <f>((G100*(1-'5.Closing Stock &amp; W Capital'!$D$15))+(F100*'5.Closing Stock &amp; W Capital'!$D$15))*$C168*H$124</f>
        <v>  -   </v>
      </c>
      <c r="I168" s="116" t="str">
        <f>((H100*(1-'5.Closing Stock &amp; W Capital'!$D$15))+(G100*'5.Closing Stock &amp; W Capital'!$D$15))*$C168*I$124</f>
        <v>  -   </v>
      </c>
      <c r="J168" s="116" t="str">
        <f>((I100*(1-'5.Closing Stock &amp; W Capital'!$D$15))+(H100*'5.Closing Stock &amp; W Capital'!$D$15))*$C168*J$124</f>
        <v>  -   </v>
      </c>
      <c r="K168" s="111"/>
      <c r="U168" s="111"/>
      <c r="V168" s="111"/>
      <c r="W168" s="111"/>
    </row>
    <row r="169" ht="14.25" customHeight="1">
      <c r="A169" s="73" t="str">
        <f t="shared" si="55"/>
        <v/>
      </c>
      <c r="B169" s="73"/>
      <c r="C169" s="380"/>
      <c r="D169" s="116" t="str">
        <f>(C101*(1-'5.Closing Stock &amp; W Capital'!$D$15))*$C169*D$124</f>
        <v>  -   </v>
      </c>
      <c r="E169" s="116" t="str">
        <f>((D101*(1-'5.Closing Stock &amp; W Capital'!$D$15))+(C101*'5.Closing Stock &amp; W Capital'!$D$15))*$C169*E$124</f>
        <v>  -   </v>
      </c>
      <c r="F169" s="116" t="str">
        <f>((E101*(1-'5.Closing Stock &amp; W Capital'!$D$15))+(D101*'5.Closing Stock &amp; W Capital'!$D$15))*$C169*F$124</f>
        <v>  -   </v>
      </c>
      <c r="G169" s="116" t="str">
        <f>((F101*(1-'5.Closing Stock &amp; W Capital'!$D$15))+(E101*'5.Closing Stock &amp; W Capital'!$D$15))*$C169*G$124</f>
        <v>  -   </v>
      </c>
      <c r="H169" s="116" t="str">
        <f>((G101*(1-'5.Closing Stock &amp; W Capital'!$D$15))+(F101*'5.Closing Stock &amp; W Capital'!$D$15))*$C169*H$124</f>
        <v>  -   </v>
      </c>
      <c r="I169" s="116" t="str">
        <f>((H101*(1-'5.Closing Stock &amp; W Capital'!$D$15))+(G101*'5.Closing Stock &amp; W Capital'!$D$15))*$C169*I$124</f>
        <v>  -   </v>
      </c>
      <c r="J169" s="116" t="str">
        <f>((I101*(1-'5.Closing Stock &amp; W Capital'!$D$15))+(H101*'5.Closing Stock &amp; W Capital'!$D$15))*$C169*J$124</f>
        <v>  -   </v>
      </c>
      <c r="K169" s="111"/>
      <c r="U169" s="111"/>
      <c r="V169" s="111"/>
      <c r="W169" s="111"/>
    </row>
    <row r="170" ht="14.25" customHeight="1">
      <c r="A170" s="73" t="str">
        <f t="shared" si="55"/>
        <v/>
      </c>
      <c r="B170" s="73"/>
      <c r="C170" s="380"/>
      <c r="D170" s="116" t="str">
        <f>(C102*(1-'5.Closing Stock &amp; W Capital'!$D$15))*$C170*D$124</f>
        <v>  -   </v>
      </c>
      <c r="E170" s="116" t="str">
        <f>((D102*(1-'5.Closing Stock &amp; W Capital'!$D$15))+(C102*'5.Closing Stock &amp; W Capital'!$D$15))*$C170*E$124</f>
        <v>  -   </v>
      </c>
      <c r="F170" s="116" t="str">
        <f>((E102*(1-'5.Closing Stock &amp; W Capital'!$D$15))+(D102*'5.Closing Stock &amp; W Capital'!$D$15))*$C170*F$124</f>
        <v>  -   </v>
      </c>
      <c r="G170" s="116" t="str">
        <f>((F102*(1-'5.Closing Stock &amp; W Capital'!$D$15))+(E102*'5.Closing Stock &amp; W Capital'!$D$15))*$C170*G$124</f>
        <v>  -   </v>
      </c>
      <c r="H170" s="116" t="str">
        <f>((G102*(1-'5.Closing Stock &amp; W Capital'!$D$15))+(F102*'5.Closing Stock &amp; W Capital'!$D$15))*$C170*H$124</f>
        <v>  -   </v>
      </c>
      <c r="I170" s="116" t="str">
        <f>((H102*(1-'5.Closing Stock &amp; W Capital'!$D$15))+(G102*'5.Closing Stock &amp; W Capital'!$D$15))*$C170*I$124</f>
        <v>  -   </v>
      </c>
      <c r="J170" s="116" t="str">
        <f>((I102*(1-'5.Closing Stock &amp; W Capital'!$D$15))+(H102*'5.Closing Stock &amp; W Capital'!$D$15))*$C170*J$124</f>
        <v>  -   </v>
      </c>
      <c r="K170" s="111"/>
      <c r="U170" s="111"/>
      <c r="V170" s="111"/>
      <c r="W170" s="111"/>
    </row>
    <row r="171" ht="14.25" customHeight="1">
      <c r="A171" s="73" t="str">
        <f t="shared" si="55"/>
        <v/>
      </c>
      <c r="B171" s="73"/>
      <c r="C171" s="380"/>
      <c r="D171" s="116" t="str">
        <f>(C103*(1-'5.Closing Stock &amp; W Capital'!$D$15))*$C171*D$124</f>
        <v>  -   </v>
      </c>
      <c r="E171" s="116" t="str">
        <f>((D103*(1-'5.Closing Stock &amp; W Capital'!$D$15))+(C103*'5.Closing Stock &amp; W Capital'!$D$15))*$C171*E$124</f>
        <v>  -   </v>
      </c>
      <c r="F171" s="116" t="str">
        <f>((E103*(1-'5.Closing Stock &amp; W Capital'!$D$15))+(D103*'5.Closing Stock &amp; W Capital'!$D$15))*$C171*F$124</f>
        <v>  -   </v>
      </c>
      <c r="G171" s="116" t="str">
        <f>((F103*(1-'5.Closing Stock &amp; W Capital'!$D$15))+(E103*'5.Closing Stock &amp; W Capital'!$D$15))*$C171*G$124</f>
        <v>  -   </v>
      </c>
      <c r="H171" s="116" t="str">
        <f>((G103*(1-'5.Closing Stock &amp; W Capital'!$D$15))+(F103*'5.Closing Stock &amp; W Capital'!$D$15))*$C171*H$124</f>
        <v>  -   </v>
      </c>
      <c r="I171" s="116" t="str">
        <f>((H103*(1-'5.Closing Stock &amp; W Capital'!$D$15))+(G103*'5.Closing Stock &amp; W Capital'!$D$15))*$C171*I$124</f>
        <v>  -   </v>
      </c>
      <c r="J171" s="116" t="str">
        <f>((I103*(1-'5.Closing Stock &amp; W Capital'!$D$15))+(H103*'5.Closing Stock &amp; W Capital'!$D$15))*$C171*J$124</f>
        <v>  -   </v>
      </c>
      <c r="K171" s="111"/>
      <c r="U171" s="111"/>
      <c r="V171" s="111"/>
      <c r="W171" s="111"/>
    </row>
    <row r="172" ht="14.25" customHeight="1">
      <c r="A172" s="73" t="str">
        <f t="shared" si="55"/>
        <v/>
      </c>
      <c r="B172" s="73"/>
      <c r="C172" s="380"/>
      <c r="D172" s="116" t="str">
        <f>(C104*(1-'5.Closing Stock &amp; W Capital'!$D$15))*$C172*D$124</f>
        <v>  -   </v>
      </c>
      <c r="E172" s="116" t="str">
        <f>((D104*(1-'5.Closing Stock &amp; W Capital'!$D$15))+(C104*'5.Closing Stock &amp; W Capital'!$D$15))*$C172*E$124</f>
        <v>  -   </v>
      </c>
      <c r="F172" s="116" t="str">
        <f>((E104*(1-'5.Closing Stock &amp; W Capital'!$D$15))+(D104*'5.Closing Stock &amp; W Capital'!$D$15))*$C172*F$124</f>
        <v>  -   </v>
      </c>
      <c r="G172" s="116" t="str">
        <f>((F104*(1-'5.Closing Stock &amp; W Capital'!$D$15))+(E104*'5.Closing Stock &amp; W Capital'!$D$15))*$C172*G$124</f>
        <v>  -   </v>
      </c>
      <c r="H172" s="116" t="str">
        <f>((G104*(1-'5.Closing Stock &amp; W Capital'!$D$15))+(F104*'5.Closing Stock &amp; W Capital'!$D$15))*$C172*H$124</f>
        <v>  -   </v>
      </c>
      <c r="I172" s="116" t="str">
        <f>((H104*(1-'5.Closing Stock &amp; W Capital'!$D$15))+(G104*'5.Closing Stock &amp; W Capital'!$D$15))*$C172*I$124</f>
        <v>  -   </v>
      </c>
      <c r="J172" s="116" t="str">
        <f>((I104*(1-'5.Closing Stock &amp; W Capital'!$D$15))+(H104*'5.Closing Stock &amp; W Capital'!$D$15))*$C172*J$124</f>
        <v>  -   </v>
      </c>
      <c r="K172" s="111"/>
      <c r="U172" s="111"/>
      <c r="V172" s="111"/>
      <c r="W172" s="111"/>
    </row>
    <row r="173" ht="14.25" customHeight="1">
      <c r="A173" s="73" t="str">
        <f t="shared" si="55"/>
        <v/>
      </c>
      <c r="B173" s="73"/>
      <c r="C173" s="380"/>
      <c r="D173" s="116" t="str">
        <f>(C105*(1-'5.Closing Stock &amp; W Capital'!$D$15))*$C173*D$124</f>
        <v>  -   </v>
      </c>
      <c r="E173" s="116" t="str">
        <f>((D105*(1-'5.Closing Stock &amp; W Capital'!$D$15))+(C105*'5.Closing Stock &amp; W Capital'!$D$15))*$C173*E$124</f>
        <v>  -   </v>
      </c>
      <c r="F173" s="116" t="str">
        <f>((E105*(1-'5.Closing Stock &amp; W Capital'!$D$15))+(D105*'5.Closing Stock &amp; W Capital'!$D$15))*$C173*F$124</f>
        <v>  -   </v>
      </c>
      <c r="G173" s="116" t="str">
        <f>((F105*(1-'5.Closing Stock &amp; W Capital'!$D$15))+(E105*'5.Closing Stock &amp; W Capital'!$D$15))*$C173*G$124</f>
        <v>  -   </v>
      </c>
      <c r="H173" s="116" t="str">
        <f>((G105*(1-'5.Closing Stock &amp; W Capital'!$D$15))+(F105*'5.Closing Stock &amp; W Capital'!$D$15))*$C173*H$124</f>
        <v>  -   </v>
      </c>
      <c r="I173" s="116" t="str">
        <f>((H105*(1-'5.Closing Stock &amp; W Capital'!$D$15))+(G105*'5.Closing Stock &amp; W Capital'!$D$15))*$C173*I$124</f>
        <v>  -   </v>
      </c>
      <c r="J173" s="116" t="str">
        <f>((I105*(1-'5.Closing Stock &amp; W Capital'!$D$15))+(H105*'5.Closing Stock &amp; W Capital'!$D$15))*$C173*J$124</f>
        <v>  -   </v>
      </c>
      <c r="K173" s="111"/>
      <c r="U173" s="111"/>
      <c r="V173" s="111"/>
      <c r="W173" s="111"/>
    </row>
    <row r="174" ht="14.25" customHeight="1">
      <c r="A174" s="73" t="str">
        <f t="shared" si="55"/>
        <v/>
      </c>
      <c r="B174" s="73"/>
      <c r="C174" s="380"/>
      <c r="D174" s="116" t="str">
        <f>(C106*(1-'5.Closing Stock &amp; W Capital'!$D$15))*$C174*D$124</f>
        <v>  -   </v>
      </c>
      <c r="E174" s="116" t="str">
        <f>((D106*(1-'5.Closing Stock &amp; W Capital'!$D$15))+(C106*'5.Closing Stock &amp; W Capital'!$D$15))*$C174*E$124</f>
        <v>  -   </v>
      </c>
      <c r="F174" s="116" t="str">
        <f>((E106*(1-'5.Closing Stock &amp; W Capital'!$D$15))+(D106*'5.Closing Stock &amp; W Capital'!$D$15))*$C174*F$124</f>
        <v>  -   </v>
      </c>
      <c r="G174" s="116" t="str">
        <f>((F106*(1-'5.Closing Stock &amp; W Capital'!$D$15))+(E106*'5.Closing Stock &amp; W Capital'!$D$15))*$C174*G$124</f>
        <v>  -   </v>
      </c>
      <c r="H174" s="116" t="str">
        <f>((G106*(1-'5.Closing Stock &amp; W Capital'!$D$15))+(F106*'5.Closing Stock &amp; W Capital'!$D$15))*$C174*H$124</f>
        <v>  -   </v>
      </c>
      <c r="I174" s="116" t="str">
        <f>((H106*(1-'5.Closing Stock &amp; W Capital'!$D$15))+(G106*'5.Closing Stock &amp; W Capital'!$D$15))*$C174*I$124</f>
        <v>  -   </v>
      </c>
      <c r="J174" s="116" t="str">
        <f>((I106*(1-'5.Closing Stock &amp; W Capital'!$D$15))+(H106*'5.Closing Stock &amp; W Capital'!$D$15))*$C174*J$124</f>
        <v>  -   </v>
      </c>
      <c r="K174" s="111"/>
      <c r="U174" s="111"/>
      <c r="V174" s="111"/>
      <c r="W174" s="111"/>
    </row>
    <row r="175" ht="14.25" customHeight="1">
      <c r="A175" s="73" t="str">
        <f t="shared" si="55"/>
        <v>Pomegranate</v>
      </c>
      <c r="B175" s="73"/>
      <c r="C175" s="380"/>
      <c r="D175" s="116" t="str">
        <f>(C107*(1-'5.Closing Stock &amp; W Capital'!$D$15))*$C175*D$124</f>
        <v>  -   </v>
      </c>
      <c r="E175" s="116" t="str">
        <f>((D107*(1-'5.Closing Stock &amp; W Capital'!$D$15))+(C107*'5.Closing Stock &amp; W Capital'!$D$15))*$C175*E$124</f>
        <v>  -   </v>
      </c>
      <c r="F175" s="116" t="str">
        <f>((E107*(1-'5.Closing Stock &amp; W Capital'!$D$15))+(D107*'5.Closing Stock &amp; W Capital'!$D$15))*$C175*F$124</f>
        <v>  -   </v>
      </c>
      <c r="G175" s="116" t="str">
        <f>((F107*(1-'5.Closing Stock &amp; W Capital'!$D$15))+(E107*'5.Closing Stock &amp; W Capital'!$D$15))*$C175*G$124</f>
        <v>  -   </v>
      </c>
      <c r="H175" s="116" t="str">
        <f>((G107*(1-'5.Closing Stock &amp; W Capital'!$D$15))+(F107*'5.Closing Stock &amp; W Capital'!$D$15))*$C175*H$124</f>
        <v>  -   </v>
      </c>
      <c r="I175" s="116" t="str">
        <f>((H107*(1-'5.Closing Stock &amp; W Capital'!$D$15))+(G107*'5.Closing Stock &amp; W Capital'!$D$15))*$C175*I$124</f>
        <v>  -   </v>
      </c>
      <c r="J175" s="116" t="str">
        <f>((I107*(1-'5.Closing Stock &amp; W Capital'!$D$15))+(H107*'5.Closing Stock &amp; W Capital'!$D$15))*$C175*J$124</f>
        <v>  -   </v>
      </c>
      <c r="K175" s="111"/>
      <c r="U175" s="111"/>
      <c r="V175" s="111"/>
      <c r="W175" s="111"/>
    </row>
    <row r="176" ht="14.25" customHeight="1">
      <c r="A176" s="73" t="str">
        <f t="shared" si="55"/>
        <v>Custard Apple</v>
      </c>
      <c r="B176" s="73"/>
      <c r="C176" s="380"/>
      <c r="D176" s="116" t="str">
        <f>(C108*(1-'5.Closing Stock &amp; W Capital'!$D$15))*$C176*D$124</f>
        <v>  -   </v>
      </c>
      <c r="E176" s="116" t="str">
        <f>((D108*(1-'5.Closing Stock &amp; W Capital'!$D$15))+(C108*'5.Closing Stock &amp; W Capital'!$D$15))*$C176*E$124</f>
        <v>  -   </v>
      </c>
      <c r="F176" s="116" t="str">
        <f>((E108*(1-'5.Closing Stock &amp; W Capital'!$D$15))+(D108*'5.Closing Stock &amp; W Capital'!$D$15))*$C176*F$124</f>
        <v>  -   </v>
      </c>
      <c r="G176" s="116" t="str">
        <f>((F108*(1-'5.Closing Stock &amp; W Capital'!$D$15))+(E108*'5.Closing Stock &amp; W Capital'!$D$15))*$C176*G$124</f>
        <v>  -   </v>
      </c>
      <c r="H176" s="116" t="str">
        <f>((G108*(1-'5.Closing Stock &amp; W Capital'!$D$15))+(F108*'5.Closing Stock &amp; W Capital'!$D$15))*$C176*H$124</f>
        <v>  -   </v>
      </c>
      <c r="I176" s="116" t="str">
        <f>((H108*(1-'5.Closing Stock &amp; W Capital'!$D$15))+(G108*'5.Closing Stock &amp; W Capital'!$D$15))*$C176*I$124</f>
        <v>  -   </v>
      </c>
      <c r="J176" s="116" t="str">
        <f>((I108*(1-'5.Closing Stock &amp; W Capital'!$D$15))+(H108*'5.Closing Stock &amp; W Capital'!$D$15))*$C176*J$124</f>
        <v>  -   </v>
      </c>
      <c r="K176" s="111"/>
      <c r="U176" s="111"/>
      <c r="V176" s="111"/>
      <c r="W176" s="111"/>
    </row>
    <row r="177" ht="14.25" customHeight="1">
      <c r="A177" s="73" t="str">
        <f t="shared" si="55"/>
        <v>Guava</v>
      </c>
      <c r="B177" s="73"/>
      <c r="C177" s="380"/>
      <c r="D177" s="116" t="str">
        <f>(C109*(1-'5.Closing Stock &amp; W Capital'!$D$15))*$C177*D$124</f>
        <v>  -   </v>
      </c>
      <c r="E177" s="116" t="str">
        <f>((D109*(1-'5.Closing Stock &amp; W Capital'!$D$15))+(C109*'5.Closing Stock &amp; W Capital'!$D$15))*$C177*E$124</f>
        <v>  -   </v>
      </c>
      <c r="F177" s="116" t="str">
        <f>((E109*(1-'5.Closing Stock &amp; W Capital'!$D$15))+(D109*'5.Closing Stock &amp; W Capital'!$D$15))*$C177*F$124</f>
        <v>  -   </v>
      </c>
      <c r="G177" s="116" t="str">
        <f>((F109*(1-'5.Closing Stock &amp; W Capital'!$D$15))+(E109*'5.Closing Stock &amp; W Capital'!$D$15))*$C177*G$124</f>
        <v>  -   </v>
      </c>
      <c r="H177" s="116" t="str">
        <f>((G109*(1-'5.Closing Stock &amp; W Capital'!$D$15))+(F109*'5.Closing Stock &amp; W Capital'!$D$15))*$C177*H$124</f>
        <v>  -   </v>
      </c>
      <c r="I177" s="116" t="str">
        <f>((H109*(1-'5.Closing Stock &amp; W Capital'!$D$15))+(G109*'5.Closing Stock &amp; W Capital'!$D$15))*$C177*I$124</f>
        <v>  -   </v>
      </c>
      <c r="J177" s="116" t="str">
        <f>((I109*(1-'5.Closing Stock &amp; W Capital'!$D$15))+(H109*'5.Closing Stock &amp; W Capital'!$D$15))*$C177*J$124</f>
        <v>  -   </v>
      </c>
      <c r="K177" s="111"/>
      <c r="U177" s="111"/>
      <c r="V177" s="111"/>
      <c r="W177" s="111"/>
    </row>
    <row r="178" ht="14.25" customHeight="1">
      <c r="A178" s="73" t="str">
        <f t="shared" si="55"/>
        <v>Citrus</v>
      </c>
      <c r="B178" s="73"/>
      <c r="C178" s="380"/>
      <c r="D178" s="116" t="str">
        <f>(C110*(1-'5.Closing Stock &amp; W Capital'!$D$15))*$C178*D$124</f>
        <v>  -   </v>
      </c>
      <c r="E178" s="116" t="str">
        <f>((D110*(1-'5.Closing Stock &amp; W Capital'!$D$15))+(C110*'5.Closing Stock &amp; W Capital'!$D$15))*$C178*E$124</f>
        <v>  -   </v>
      </c>
      <c r="F178" s="116" t="str">
        <f>((E110*(1-'5.Closing Stock &amp; W Capital'!$D$15))+(D110*'5.Closing Stock &amp; W Capital'!$D$15))*$C178*F$124</f>
        <v>  -   </v>
      </c>
      <c r="G178" s="116" t="str">
        <f>((F110*(1-'5.Closing Stock &amp; W Capital'!$D$15))+(E110*'5.Closing Stock &amp; W Capital'!$D$15))*$C178*G$124</f>
        <v>  -   </v>
      </c>
      <c r="H178" s="116" t="str">
        <f>((G110*(1-'5.Closing Stock &amp; W Capital'!$D$15))+(F110*'5.Closing Stock &amp; W Capital'!$D$15))*$C178*H$124</f>
        <v>  -   </v>
      </c>
      <c r="I178" s="116" t="str">
        <f>((H110*(1-'5.Closing Stock &amp; W Capital'!$D$15))+(G110*'5.Closing Stock &amp; W Capital'!$D$15))*$C178*I$124</f>
        <v>  -   </v>
      </c>
      <c r="J178" s="116" t="str">
        <f>((I110*(1-'5.Closing Stock &amp; W Capital'!$D$15))+(H110*'5.Closing Stock &amp; W Capital'!$D$15))*$C178*J$124</f>
        <v>  -   </v>
      </c>
      <c r="K178" s="111"/>
      <c r="U178" s="111"/>
      <c r="V178" s="111"/>
      <c r="W178" s="111"/>
    </row>
    <row r="179" ht="14.25" customHeight="1">
      <c r="A179" s="73" t="str">
        <f t="shared" si="55"/>
        <v/>
      </c>
      <c r="B179" s="73"/>
      <c r="C179" s="380"/>
      <c r="D179" s="116"/>
      <c r="E179" s="116"/>
      <c r="F179" s="116"/>
      <c r="G179" s="116"/>
      <c r="H179" s="116"/>
      <c r="I179" s="116"/>
      <c r="J179" s="116"/>
      <c r="K179" s="111"/>
      <c r="U179" s="111"/>
      <c r="V179" s="111"/>
      <c r="W179" s="111"/>
    </row>
    <row r="180" ht="14.25" customHeight="1">
      <c r="A180" s="73"/>
      <c r="B180" s="73"/>
      <c r="C180" s="116"/>
      <c r="D180" s="116"/>
      <c r="E180" s="116"/>
      <c r="F180" s="116"/>
      <c r="G180" s="116"/>
      <c r="H180" s="116"/>
      <c r="I180" s="116"/>
      <c r="J180" s="116"/>
      <c r="K180" s="111"/>
      <c r="U180" s="111"/>
      <c r="V180" s="111"/>
      <c r="W180" s="111"/>
    </row>
    <row r="181" ht="14.25" customHeight="1">
      <c r="A181" s="73" t="s">
        <v>746</v>
      </c>
      <c r="B181" s="73"/>
      <c r="C181" s="116" t="s">
        <v>745</v>
      </c>
      <c r="D181" s="116"/>
      <c r="E181" s="116"/>
      <c r="F181" s="116"/>
      <c r="G181" s="116"/>
      <c r="H181" s="116"/>
      <c r="I181" s="116"/>
      <c r="J181" s="116"/>
      <c r="K181" s="111"/>
      <c r="U181" s="111"/>
      <c r="V181" s="111"/>
      <c r="W181" s="111"/>
    </row>
    <row r="182" ht="14.25" customHeight="1">
      <c r="A182" s="73" t="s">
        <v>736</v>
      </c>
      <c r="B182" s="73"/>
      <c r="C182" s="380">
        <v>380.0</v>
      </c>
      <c r="D182" s="116" t="str">
        <f>((C114/50)*(1-'5.Closing Stock &amp; W Capital'!$D$15))*$C$182*D124</f>
        <v>  -   </v>
      </c>
      <c r="E182" s="116" t="str">
        <f>(((D114*(1-'5.Closing Stock &amp; W Capital'!$D$15))+(C114*'5.Closing Stock &amp; W Capital'!$D$15))/50)*$C$182*E124</f>
        <v>  -   </v>
      </c>
      <c r="F182" s="116" t="str">
        <f>(((E114*(1-'5.Closing Stock &amp; W Capital'!$D$15))+(D114*'5.Closing Stock &amp; W Capital'!$D$15))/50)*$C$182*F124</f>
        <v>  -   </v>
      </c>
      <c r="G182" s="116" t="str">
        <f>(((F114*(1-'5.Closing Stock &amp; W Capital'!$D$15))+(E114*'5.Closing Stock &amp; W Capital'!$D$15))/50)*$C$182*G124</f>
        <v>  -   </v>
      </c>
      <c r="H182" s="116" t="str">
        <f>(((G114*(1-'5.Closing Stock &amp; W Capital'!$D$15))+(F114*'5.Closing Stock &amp; W Capital'!$D$15))/50)*$C$182*H124</f>
        <v>  -   </v>
      </c>
      <c r="I182" s="116" t="str">
        <f>(((H114*(1-'5.Closing Stock &amp; W Capital'!$D$15))+(G114*'5.Closing Stock &amp; W Capital'!$D$15))/50)*$C$182*I124</f>
        <v>  -   </v>
      </c>
      <c r="J182" s="116" t="str">
        <f>(((I114*(1-'5.Closing Stock &amp; W Capital'!$D$15))+(H114*'5.Closing Stock &amp; W Capital'!$D$15))/50)*$C$182*J124</f>
        <v>  -   </v>
      </c>
      <c r="K182" s="111"/>
      <c r="U182" s="111"/>
      <c r="V182" s="111"/>
      <c r="W182" s="111"/>
    </row>
    <row r="183" ht="14.25" customHeight="1">
      <c r="A183" s="73" t="s">
        <v>737</v>
      </c>
      <c r="B183" s="73"/>
      <c r="C183" s="380">
        <v>255.0</v>
      </c>
      <c r="D183" s="116" t="str">
        <f>((C115/50)*(1-'5.Closing Stock &amp; W Capital'!$D$15))*$C$183*D124</f>
        <v>  -   </v>
      </c>
      <c r="E183" s="116" t="str">
        <f>(((D115*(1-'5.Closing Stock &amp; W Capital'!$D$15))+(C115*'5.Closing Stock &amp; W Capital'!$D$15))/50)*$C$183*E124</f>
        <v>  -   </v>
      </c>
      <c r="F183" s="116" t="str">
        <f>(((E115*(1-'5.Closing Stock &amp; W Capital'!$D$15))+(D115*'5.Closing Stock &amp; W Capital'!$D$15))/50)*$C$183*F124</f>
        <v>  -   </v>
      </c>
      <c r="G183" s="116" t="str">
        <f>(((F115*(1-'5.Closing Stock &amp; W Capital'!$D$15))+(E115*'5.Closing Stock &amp; W Capital'!$D$15))/50)*$C$183*G124</f>
        <v>  -   </v>
      </c>
      <c r="H183" s="116" t="str">
        <f>(((G115*(1-'5.Closing Stock &amp; W Capital'!$D$15))+(F115*'5.Closing Stock &amp; W Capital'!$D$15))/50)*$C$183*H124</f>
        <v>  -   </v>
      </c>
      <c r="I183" s="116" t="str">
        <f>(((H115*(1-'5.Closing Stock &amp; W Capital'!$D$15))+(G115*'5.Closing Stock &amp; W Capital'!$D$15))/50)*$C$183*I124</f>
        <v>  -   </v>
      </c>
      <c r="J183" s="116" t="str">
        <f>(((I115*(1-'5.Closing Stock &amp; W Capital'!$D$15))+(H115*'5.Closing Stock &amp; W Capital'!$D$15))/50)*$C$183*J124</f>
        <v>  -   </v>
      </c>
      <c r="K183" s="111"/>
      <c r="U183" s="111"/>
      <c r="V183" s="111"/>
      <c r="W183" s="111"/>
    </row>
    <row r="184" ht="14.25" customHeight="1">
      <c r="A184" s="73" t="s">
        <v>738</v>
      </c>
      <c r="B184" s="73"/>
      <c r="C184" s="380">
        <v>1275.0</v>
      </c>
      <c r="D184" s="116" t="str">
        <f>((C116/50)*(1-'5.Closing Stock &amp; W Capital'!$D$15))*$C$184*D124</f>
        <v>  -   </v>
      </c>
      <c r="E184" s="116" t="str">
        <f>(((D116*(1-'5.Closing Stock &amp; W Capital'!$D$15))+(C116*'5.Closing Stock &amp; W Capital'!$D$15))/50)*$C$184*E124</f>
        <v>  -   </v>
      </c>
      <c r="F184" s="116" t="str">
        <f>(((E116*(1-'5.Closing Stock &amp; W Capital'!$D$15))+(D116*'5.Closing Stock &amp; W Capital'!$D$15))/50)*$C$184*F124</f>
        <v>  -   </v>
      </c>
      <c r="G184" s="116" t="str">
        <f>(((F116*(1-'5.Closing Stock &amp; W Capital'!$D$15))+(E116*'5.Closing Stock &amp; W Capital'!$D$15))/50)*$C$184*G124</f>
        <v>  -   </v>
      </c>
      <c r="H184" s="116" t="str">
        <f>(((G116*(1-'5.Closing Stock &amp; W Capital'!$D$15))+(F116*'5.Closing Stock &amp; W Capital'!$D$15))/50)*$C$184*H124</f>
        <v>  -   </v>
      </c>
      <c r="I184" s="116" t="str">
        <f>(((H116*(1-'5.Closing Stock &amp; W Capital'!$D$15))+(G116*'5.Closing Stock &amp; W Capital'!$D$15))/50)*$C$184*I124</f>
        <v>  -   </v>
      </c>
      <c r="J184" s="116" t="str">
        <f>(((I116*(1-'5.Closing Stock &amp; W Capital'!$D$15))+(H116*'5.Closing Stock &amp; W Capital'!$D$15))/50)*$C$184*J124</f>
        <v>  -   </v>
      </c>
      <c r="K184" s="111"/>
      <c r="U184" s="111"/>
      <c r="V184" s="111"/>
      <c r="W184" s="111"/>
    </row>
    <row r="185" ht="14.25" customHeight="1">
      <c r="A185" s="73"/>
      <c r="B185" s="73"/>
      <c r="C185" s="116"/>
      <c r="D185" s="116"/>
      <c r="E185" s="116"/>
      <c r="F185" s="116"/>
      <c r="G185" s="116"/>
      <c r="H185" s="116"/>
      <c r="I185" s="116"/>
      <c r="J185" s="116"/>
      <c r="K185" s="111"/>
      <c r="U185" s="111"/>
      <c r="V185" s="111"/>
      <c r="W185" s="111"/>
    </row>
    <row r="186" ht="14.25" customHeight="1">
      <c r="A186" s="73" t="s">
        <v>747</v>
      </c>
      <c r="B186" s="73"/>
      <c r="C186" s="116" t="s">
        <v>748</v>
      </c>
      <c r="D186" s="116"/>
      <c r="E186" s="116"/>
      <c r="F186" s="116"/>
      <c r="G186" s="116"/>
      <c r="H186" s="116"/>
      <c r="I186" s="116"/>
      <c r="J186" s="116"/>
      <c r="K186" s="111"/>
      <c r="U186" s="111"/>
      <c r="V186" s="111"/>
      <c r="W186" s="111"/>
    </row>
    <row r="187" ht="14.25" customHeight="1">
      <c r="A187" s="73" t="s">
        <v>740</v>
      </c>
      <c r="B187" s="73"/>
      <c r="C187" s="380"/>
      <c r="D187" s="116" t="str">
        <f>(C118*(1-'5.Closing Stock &amp; W Capital'!$D$15))*$C$187*D124</f>
        <v>  -   </v>
      </c>
      <c r="E187" s="116" t="str">
        <f>((D118*(1-'5.Closing Stock &amp; W Capital'!$D$15))+(C118*'5.Closing Stock &amp; W Capital'!$D$15))*$C$187*E124</f>
        <v>  -   </v>
      </c>
      <c r="F187" s="116" t="str">
        <f>((E118*(1-'5.Closing Stock &amp; W Capital'!$D$15))+(D118*'5.Closing Stock &amp; W Capital'!$D$15))*$C$187*F124</f>
        <v>  -   </v>
      </c>
      <c r="G187" s="116" t="str">
        <f>((F118*(1-'5.Closing Stock &amp; W Capital'!$D$15))+(E118*'5.Closing Stock &amp; W Capital'!$D$15))*$C$187*G124</f>
        <v>  -   </v>
      </c>
      <c r="H187" s="116" t="str">
        <f>((G118*(1-'5.Closing Stock &amp; W Capital'!$D$15))+(F118*'5.Closing Stock &amp; W Capital'!$D$15))*$C$187*H124</f>
        <v>  -   </v>
      </c>
      <c r="I187" s="116" t="str">
        <f>((H118*(1-'5.Closing Stock &amp; W Capital'!$D$15))+(G118*'5.Closing Stock &amp; W Capital'!$D$15))*$C$187*I124</f>
        <v>  -   </v>
      </c>
      <c r="J187" s="116" t="str">
        <f>((I118*(1-'5.Closing Stock &amp; W Capital'!$D$15))+(H118*'5.Closing Stock &amp; W Capital'!$D$15))*$C$187*J124</f>
        <v>  -   </v>
      </c>
      <c r="K187" s="111"/>
      <c r="U187" s="388"/>
      <c r="V187" s="388"/>
      <c r="W187" s="388"/>
    </row>
    <row r="188" ht="14.25" customHeight="1">
      <c r="A188" s="73" t="s">
        <v>741</v>
      </c>
      <c r="B188" s="73"/>
      <c r="C188" s="380"/>
      <c r="D188" s="116" t="str">
        <f>(C119*(1-'5.Closing Stock &amp; W Capital'!$D$15))*$C$188*D124</f>
        <v>  -   </v>
      </c>
      <c r="E188" s="116" t="str">
        <f>((D119*(1-'5.Closing Stock &amp; W Capital'!$D$15))+(C119*'5.Closing Stock &amp; W Capital'!$D$15))*$C$188*E124</f>
        <v>  -   </v>
      </c>
      <c r="F188" s="116" t="str">
        <f>((E119*(1-'5.Closing Stock &amp; W Capital'!$D$15))+(D119*'5.Closing Stock &amp; W Capital'!$D$15))*$C$188*F124</f>
        <v>  -   </v>
      </c>
      <c r="G188" s="116" t="str">
        <f>((F119*(1-'5.Closing Stock &amp; W Capital'!$D$15))+(E119*'5.Closing Stock &amp; W Capital'!$D$15))*$C$188*G124</f>
        <v>  -   </v>
      </c>
      <c r="H188" s="116" t="str">
        <f>((G119*(1-'5.Closing Stock &amp; W Capital'!$D$15))+(F119*'5.Closing Stock &amp; W Capital'!$D$15))*$C$188*H124</f>
        <v>  -   </v>
      </c>
      <c r="I188" s="116" t="str">
        <f>((H119*(1-'5.Closing Stock &amp; W Capital'!$D$15))+(G119*'5.Closing Stock &amp; W Capital'!$D$15))*$C$188*I124</f>
        <v>  -   </v>
      </c>
      <c r="J188" s="116" t="str">
        <f>((I119*(1-'5.Closing Stock &amp; W Capital'!$D$15))+(H119*'5.Closing Stock &amp; W Capital'!$D$15))*$C$188*J124</f>
        <v>  -   </v>
      </c>
      <c r="K188" s="111"/>
      <c r="U188" s="111"/>
      <c r="V188" s="111"/>
      <c r="W188" s="111"/>
    </row>
    <row r="189" ht="14.25" customHeight="1">
      <c r="A189" s="73"/>
      <c r="B189" s="73"/>
      <c r="C189" s="116"/>
      <c r="D189" s="116"/>
      <c r="E189" s="116"/>
      <c r="F189" s="116"/>
      <c r="G189" s="116"/>
      <c r="H189" s="116"/>
      <c r="I189" s="116"/>
      <c r="J189" s="116"/>
      <c r="K189" s="111"/>
      <c r="U189" s="111"/>
      <c r="V189" s="111"/>
      <c r="W189" s="111"/>
    </row>
    <row r="190" ht="14.25" customHeight="1">
      <c r="A190" s="73"/>
      <c r="B190" s="73"/>
      <c r="C190" s="116"/>
      <c r="D190" s="116"/>
      <c r="E190" s="116"/>
      <c r="F190" s="116"/>
      <c r="G190" s="116"/>
      <c r="H190" s="116"/>
      <c r="I190" s="116"/>
      <c r="J190" s="116"/>
      <c r="K190" s="111"/>
      <c r="U190" s="111"/>
      <c r="V190" s="111"/>
      <c r="W190" s="111"/>
    </row>
    <row r="191" ht="14.25" customHeight="1">
      <c r="A191" s="117" t="s">
        <v>411</v>
      </c>
      <c r="B191" s="117"/>
      <c r="C191" s="118"/>
      <c r="D191" s="118" t="str">
        <f t="shared" ref="D191:J191" si="56">SUM(D130:D190)</f>
        <v>  -   </v>
      </c>
      <c r="E191" s="118" t="str">
        <f t="shared" si="56"/>
        <v>  -   </v>
      </c>
      <c r="F191" s="118" t="str">
        <f t="shared" si="56"/>
        <v>  -   </v>
      </c>
      <c r="G191" s="118" t="str">
        <f t="shared" si="56"/>
        <v>  -   </v>
      </c>
      <c r="H191" s="118" t="str">
        <f t="shared" si="56"/>
        <v>  -   </v>
      </c>
      <c r="I191" s="118" t="str">
        <f t="shared" si="56"/>
        <v>  -   </v>
      </c>
      <c r="J191" s="118" t="str">
        <f t="shared" si="56"/>
        <v>  -   </v>
      </c>
      <c r="K191" s="111"/>
      <c r="U191" s="111"/>
      <c r="V191" s="111"/>
      <c r="W191" s="111"/>
    </row>
    <row r="192" ht="14.25" customHeight="1">
      <c r="A192" s="73"/>
      <c r="B192" s="73"/>
      <c r="C192" s="116"/>
      <c r="D192" s="116"/>
      <c r="E192" s="116"/>
      <c r="F192" s="116"/>
      <c r="G192" s="116"/>
      <c r="H192" s="116"/>
      <c r="I192" s="116"/>
      <c r="J192" s="116"/>
      <c r="K192" s="111"/>
      <c r="U192" s="111"/>
      <c r="V192" s="111"/>
      <c r="W192" s="111"/>
    </row>
    <row r="193" ht="14.25" customHeight="1">
      <c r="A193" s="73"/>
      <c r="B193" s="73"/>
      <c r="C193" s="116"/>
      <c r="D193" s="116"/>
      <c r="E193" s="116"/>
      <c r="F193" s="116"/>
      <c r="G193" s="116"/>
      <c r="H193" s="116"/>
      <c r="I193" s="116"/>
      <c r="J193" s="116"/>
      <c r="K193" s="111"/>
      <c r="U193" s="111"/>
      <c r="V193" s="111"/>
      <c r="W193" s="111"/>
    </row>
    <row r="194" ht="14.25" customHeight="1">
      <c r="A194" s="117" t="s">
        <v>646</v>
      </c>
      <c r="B194" s="117"/>
      <c r="C194" s="116"/>
      <c r="D194" s="116"/>
      <c r="E194" s="116"/>
      <c r="F194" s="116"/>
      <c r="G194" s="116"/>
      <c r="H194" s="116"/>
      <c r="I194" s="116"/>
      <c r="J194" s="116"/>
      <c r="K194" s="111"/>
      <c r="U194" s="111"/>
      <c r="V194" s="111"/>
      <c r="W194" s="111"/>
    </row>
    <row r="195" ht="14.25" customHeight="1">
      <c r="A195" s="117" t="str">
        <f>A128</f>
        <v>Seeds (Rate/KG)</v>
      </c>
      <c r="B195" s="117"/>
      <c r="C195" s="116"/>
      <c r="D195" s="116"/>
      <c r="E195" s="116"/>
      <c r="F195" s="116"/>
      <c r="G195" s="116"/>
      <c r="H195" s="116"/>
      <c r="I195" s="116"/>
      <c r="J195" s="116"/>
      <c r="K195" s="111"/>
      <c r="U195" s="111"/>
      <c r="V195" s="111"/>
      <c r="W195" s="111"/>
    </row>
    <row r="196" ht="14.25" customHeight="1">
      <c r="A196" s="117" t="s">
        <v>412</v>
      </c>
      <c r="B196" s="73"/>
      <c r="C196" s="73"/>
      <c r="D196" s="73"/>
      <c r="E196" s="73"/>
      <c r="F196" s="73"/>
      <c r="G196" s="73"/>
      <c r="H196" s="73"/>
      <c r="I196" s="73"/>
      <c r="J196" s="73"/>
      <c r="K196" s="111"/>
      <c r="U196" s="111"/>
      <c r="V196" s="111"/>
      <c r="W196" s="111"/>
    </row>
    <row r="197" ht="14.25" customHeight="1">
      <c r="A197" s="117" t="s">
        <v>749</v>
      </c>
      <c r="B197" s="73"/>
      <c r="C197" s="73"/>
      <c r="D197" s="73"/>
      <c r="E197" s="73"/>
      <c r="F197" s="73"/>
      <c r="G197" s="73"/>
      <c r="H197" s="73"/>
      <c r="I197" s="73"/>
      <c r="J197" s="73"/>
      <c r="K197" s="111"/>
      <c r="U197" s="111"/>
      <c r="V197" s="111"/>
      <c r="W197" s="111"/>
    </row>
    <row r="198" ht="14.25" customHeight="1">
      <c r="A198" s="389" t="str">
        <f t="shared" ref="A198:A239" si="58">A130</f>
        <v>Soybean</v>
      </c>
      <c r="B198" s="111"/>
      <c r="C198" s="390"/>
      <c r="D198" s="391" t="str">
        <f t="shared" ref="D198:J198" si="57">C62*$C198*D$124</f>
        <v>  -   </v>
      </c>
      <c r="E198" s="391" t="str">
        <f t="shared" si="57"/>
        <v>  -   </v>
      </c>
      <c r="F198" s="391" t="str">
        <f t="shared" si="57"/>
        <v>  -   </v>
      </c>
      <c r="G198" s="391" t="str">
        <f t="shared" si="57"/>
        <v>  -   </v>
      </c>
      <c r="H198" s="391" t="str">
        <f t="shared" si="57"/>
        <v>  -   </v>
      </c>
      <c r="I198" s="391" t="str">
        <f t="shared" si="57"/>
        <v>  -   </v>
      </c>
      <c r="J198" s="391" t="str">
        <f t="shared" si="57"/>
        <v>  -   </v>
      </c>
      <c r="K198" s="111"/>
      <c r="U198" s="111"/>
      <c r="V198" s="111"/>
      <c r="W198" s="111"/>
    </row>
    <row r="199" ht="14.25" customHeight="1">
      <c r="A199" s="73" t="str">
        <f t="shared" si="58"/>
        <v>Red Gram/Tur</v>
      </c>
      <c r="B199" s="73"/>
      <c r="C199" s="380">
        <v>75.0</v>
      </c>
      <c r="D199" s="116" t="str">
        <f t="shared" ref="D199:J199" si="59">C63*$C199*D$124</f>
        <v>  -   </v>
      </c>
      <c r="E199" s="116" t="str">
        <f t="shared" si="59"/>
        <v>  -   </v>
      </c>
      <c r="F199" s="116" t="str">
        <f t="shared" si="59"/>
        <v>  -   </v>
      </c>
      <c r="G199" s="116" t="str">
        <f t="shared" si="59"/>
        <v>  -   </v>
      </c>
      <c r="H199" s="116" t="str">
        <f t="shared" si="59"/>
        <v>  -   </v>
      </c>
      <c r="I199" s="116" t="str">
        <f t="shared" si="59"/>
        <v>  -   </v>
      </c>
      <c r="J199" s="116" t="str">
        <f t="shared" si="59"/>
        <v>  -   </v>
      </c>
      <c r="K199" s="111"/>
      <c r="U199" s="111"/>
      <c r="V199" s="111"/>
      <c r="W199" s="111"/>
    </row>
    <row r="200" ht="14.25" customHeight="1">
      <c r="A200" s="73" t="str">
        <f t="shared" si="58"/>
        <v>Paddy/Rice</v>
      </c>
      <c r="B200" s="73"/>
      <c r="C200" s="380"/>
      <c r="D200" s="116" t="str">
        <f t="shared" ref="D200:J200" si="60">C64*$C200*D$124</f>
        <v>  -   </v>
      </c>
      <c r="E200" s="116" t="str">
        <f t="shared" si="60"/>
        <v>  -   </v>
      </c>
      <c r="F200" s="116" t="str">
        <f t="shared" si="60"/>
        <v>  -   </v>
      </c>
      <c r="G200" s="116" t="str">
        <f t="shared" si="60"/>
        <v>  -   </v>
      </c>
      <c r="H200" s="116" t="str">
        <f t="shared" si="60"/>
        <v>  -   </v>
      </c>
      <c r="I200" s="116" t="str">
        <f t="shared" si="60"/>
        <v>  -   </v>
      </c>
      <c r="J200" s="116" t="str">
        <f t="shared" si="60"/>
        <v>  -   </v>
      </c>
      <c r="K200" s="111"/>
      <c r="U200" s="111"/>
      <c r="V200" s="111"/>
      <c r="W200" s="111"/>
    </row>
    <row r="201" ht="14.25" customHeight="1">
      <c r="A201" s="73" t="str">
        <f t="shared" si="58"/>
        <v>Green Gram/ Moong</v>
      </c>
      <c r="B201" s="73"/>
      <c r="C201" s="380">
        <v>85.0</v>
      </c>
      <c r="D201" s="116" t="str">
        <f t="shared" ref="D201:J201" si="61">C65*$C201*D$124</f>
        <v>  -   </v>
      </c>
      <c r="E201" s="116" t="str">
        <f t="shared" si="61"/>
        <v>  -   </v>
      </c>
      <c r="F201" s="116" t="str">
        <f t="shared" si="61"/>
        <v>  -   </v>
      </c>
      <c r="G201" s="116" t="str">
        <f t="shared" si="61"/>
        <v>  -   </v>
      </c>
      <c r="H201" s="116" t="str">
        <f t="shared" si="61"/>
        <v>  -   </v>
      </c>
      <c r="I201" s="116" t="str">
        <f t="shared" si="61"/>
        <v>  -   </v>
      </c>
      <c r="J201" s="116" t="str">
        <f t="shared" si="61"/>
        <v>  -   </v>
      </c>
      <c r="K201" s="111"/>
      <c r="L201" s="111"/>
      <c r="M201" s="111"/>
      <c r="N201" s="111"/>
      <c r="O201" s="111"/>
      <c r="P201" s="111"/>
      <c r="Q201" s="111"/>
      <c r="R201" s="111"/>
      <c r="S201" s="111"/>
      <c r="T201" s="111"/>
      <c r="U201" s="111"/>
      <c r="V201" s="111"/>
      <c r="W201" s="111"/>
    </row>
    <row r="202" ht="14.25" customHeight="1">
      <c r="A202" s="73" t="str">
        <f t="shared" si="58"/>
        <v>Maize</v>
      </c>
      <c r="B202" s="73"/>
      <c r="C202" s="380"/>
      <c r="D202" s="116" t="str">
        <f t="shared" ref="D202:J202" si="62">C66*$C202*D$124</f>
        <v>  -   </v>
      </c>
      <c r="E202" s="116" t="str">
        <f t="shared" si="62"/>
        <v>  -   </v>
      </c>
      <c r="F202" s="116" t="str">
        <f t="shared" si="62"/>
        <v>  -   </v>
      </c>
      <c r="G202" s="116" t="str">
        <f t="shared" si="62"/>
        <v>  -   </v>
      </c>
      <c r="H202" s="116" t="str">
        <f t="shared" si="62"/>
        <v>  -   </v>
      </c>
      <c r="I202" s="116" t="str">
        <f t="shared" si="62"/>
        <v>  -   </v>
      </c>
      <c r="J202" s="116" t="str">
        <f t="shared" si="62"/>
        <v>  -   </v>
      </c>
      <c r="K202" s="111"/>
      <c r="L202" s="111"/>
      <c r="M202" s="111"/>
      <c r="N202" s="111"/>
      <c r="O202" s="111"/>
      <c r="P202" s="111"/>
      <c r="Q202" s="111"/>
      <c r="R202" s="111"/>
      <c r="S202" s="111"/>
      <c r="T202" s="111"/>
      <c r="U202" s="111"/>
      <c r="V202" s="111"/>
      <c r="W202" s="111"/>
    </row>
    <row r="203" ht="14.25" customHeight="1">
      <c r="A203" s="73" t="str">
        <f t="shared" si="58"/>
        <v>Black Gram/Udid</v>
      </c>
      <c r="B203" s="73"/>
      <c r="C203" s="380">
        <v>85.0</v>
      </c>
      <c r="D203" s="116" t="str">
        <f t="shared" ref="D203:J203" si="63">C67*$C203*D$124</f>
        <v>  -   </v>
      </c>
      <c r="E203" s="116" t="str">
        <f t="shared" si="63"/>
        <v>  -   </v>
      </c>
      <c r="F203" s="116" t="str">
        <f t="shared" si="63"/>
        <v>  -   </v>
      </c>
      <c r="G203" s="116" t="str">
        <f t="shared" si="63"/>
        <v>  -   </v>
      </c>
      <c r="H203" s="116" t="str">
        <f t="shared" si="63"/>
        <v>  -   </v>
      </c>
      <c r="I203" s="116" t="str">
        <f t="shared" si="63"/>
        <v>  -   </v>
      </c>
      <c r="J203" s="116" t="str">
        <f t="shared" si="63"/>
        <v>  -   </v>
      </c>
      <c r="K203" s="111"/>
      <c r="L203" s="111"/>
      <c r="M203" s="111"/>
      <c r="N203" s="111"/>
      <c r="O203" s="111"/>
      <c r="P203" s="111"/>
      <c r="Q203" s="111"/>
      <c r="R203" s="111"/>
      <c r="S203" s="111"/>
      <c r="T203" s="111"/>
      <c r="U203" s="111"/>
      <c r="V203" s="111"/>
      <c r="W203" s="111"/>
    </row>
    <row r="204" ht="14.25" customHeight="1">
      <c r="A204" s="73" t="str">
        <f t="shared" si="58"/>
        <v>Bajra</v>
      </c>
      <c r="B204" s="73"/>
      <c r="C204" s="380"/>
      <c r="D204" s="116" t="str">
        <f t="shared" ref="D204:J204" si="64">C68*$C204*D$124</f>
        <v>  -   </v>
      </c>
      <c r="E204" s="116" t="str">
        <f t="shared" si="64"/>
        <v>  -   </v>
      </c>
      <c r="F204" s="116" t="str">
        <f t="shared" si="64"/>
        <v>  -   </v>
      </c>
      <c r="G204" s="116" t="str">
        <f t="shared" si="64"/>
        <v>  -   </v>
      </c>
      <c r="H204" s="116" t="str">
        <f t="shared" si="64"/>
        <v>  -   </v>
      </c>
      <c r="I204" s="116" t="str">
        <f t="shared" si="64"/>
        <v>  -   </v>
      </c>
      <c r="J204" s="116" t="str">
        <f t="shared" si="64"/>
        <v>  -   </v>
      </c>
      <c r="K204" s="111"/>
      <c r="L204" s="111"/>
      <c r="M204" s="111"/>
      <c r="N204" s="111"/>
      <c r="O204" s="111"/>
      <c r="P204" s="111"/>
      <c r="Q204" s="111"/>
      <c r="R204" s="111"/>
      <c r="S204" s="111"/>
      <c r="T204" s="111"/>
      <c r="U204" s="111"/>
      <c r="V204" s="111"/>
      <c r="W204" s="111"/>
    </row>
    <row r="205" ht="14.25" customHeight="1">
      <c r="A205" s="73" t="str">
        <f t="shared" si="58"/>
        <v>Jawar</v>
      </c>
      <c r="B205" s="73"/>
      <c r="C205" s="380"/>
      <c r="D205" s="116" t="str">
        <f t="shared" ref="D205:J205" si="65">C69*$C205*D$124</f>
        <v>  -   </v>
      </c>
      <c r="E205" s="116" t="str">
        <f t="shared" si="65"/>
        <v>  -   </v>
      </c>
      <c r="F205" s="116" t="str">
        <f t="shared" si="65"/>
        <v>  -   </v>
      </c>
      <c r="G205" s="116" t="str">
        <f t="shared" si="65"/>
        <v>  -   </v>
      </c>
      <c r="H205" s="116" t="str">
        <f t="shared" si="65"/>
        <v>  -   </v>
      </c>
      <c r="I205" s="116" t="str">
        <f t="shared" si="65"/>
        <v>  -   </v>
      </c>
      <c r="J205" s="116" t="str">
        <f t="shared" si="65"/>
        <v>  -   </v>
      </c>
      <c r="K205" s="111"/>
      <c r="L205" s="111"/>
      <c r="M205" s="111"/>
      <c r="N205" s="111"/>
      <c r="O205" s="111"/>
      <c r="P205" s="111"/>
      <c r="Q205" s="111"/>
      <c r="R205" s="111"/>
      <c r="S205" s="111"/>
      <c r="T205" s="111"/>
      <c r="U205" s="111"/>
      <c r="V205" s="111"/>
      <c r="W205" s="111"/>
    </row>
    <row r="206" ht="14.25" customHeight="1">
      <c r="A206" s="117" t="str">
        <f t="shared" si="58"/>
        <v>Rabi Crop</v>
      </c>
      <c r="B206" s="73"/>
      <c r="C206" s="380"/>
      <c r="D206" s="116" t="str">
        <f t="shared" ref="D206:J206" si="66">C70*$C206*D$124</f>
        <v>  -   </v>
      </c>
      <c r="E206" s="116" t="str">
        <f t="shared" si="66"/>
        <v>  -   </v>
      </c>
      <c r="F206" s="116" t="str">
        <f t="shared" si="66"/>
        <v>  -   </v>
      </c>
      <c r="G206" s="116" t="str">
        <f t="shared" si="66"/>
        <v>  -   </v>
      </c>
      <c r="H206" s="116" t="str">
        <f t="shared" si="66"/>
        <v>  -   </v>
      </c>
      <c r="I206" s="116" t="str">
        <f t="shared" si="66"/>
        <v>  -   </v>
      </c>
      <c r="J206" s="116" t="str">
        <f t="shared" si="66"/>
        <v>  -   </v>
      </c>
      <c r="K206" s="111"/>
      <c r="L206" s="111"/>
      <c r="M206" s="111"/>
      <c r="N206" s="111"/>
      <c r="O206" s="111"/>
      <c r="P206" s="111"/>
      <c r="Q206" s="111"/>
      <c r="R206" s="111"/>
      <c r="S206" s="111"/>
      <c r="T206" s="111"/>
      <c r="U206" s="111"/>
      <c r="V206" s="111"/>
      <c r="W206" s="111"/>
    </row>
    <row r="207" ht="14.25" customHeight="1">
      <c r="A207" s="73" t="str">
        <f t="shared" si="58"/>
        <v>Wheat</v>
      </c>
      <c r="B207" s="73"/>
      <c r="C207" s="380"/>
      <c r="D207" s="116" t="str">
        <f t="shared" ref="D207:J207" si="67">C71*$C207*D$124</f>
        <v>  -   </v>
      </c>
      <c r="E207" s="116" t="str">
        <f t="shared" si="67"/>
        <v>  -   </v>
      </c>
      <c r="F207" s="116" t="str">
        <f t="shared" si="67"/>
        <v>  -   </v>
      </c>
      <c r="G207" s="116" t="str">
        <f t="shared" si="67"/>
        <v>  -   </v>
      </c>
      <c r="H207" s="116" t="str">
        <f t="shared" si="67"/>
        <v>  -   </v>
      </c>
      <c r="I207" s="116" t="str">
        <f t="shared" si="67"/>
        <v>  -   </v>
      </c>
      <c r="J207" s="116" t="str">
        <f t="shared" si="67"/>
        <v>  -   </v>
      </c>
      <c r="K207" s="111"/>
      <c r="L207" s="111"/>
      <c r="M207" s="111"/>
      <c r="N207" s="111"/>
      <c r="O207" s="111"/>
      <c r="P207" s="111"/>
      <c r="Q207" s="111"/>
      <c r="R207" s="111"/>
      <c r="S207" s="111"/>
      <c r="T207" s="111"/>
      <c r="U207" s="111"/>
      <c r="V207" s="111"/>
      <c r="W207" s="111"/>
    </row>
    <row r="208" ht="14.25" customHeight="1">
      <c r="A208" s="73" t="str">
        <f t="shared" si="58"/>
        <v>Bengal Gram/Channa</v>
      </c>
      <c r="B208" s="73"/>
      <c r="C208" s="380">
        <v>70.0</v>
      </c>
      <c r="D208" s="116" t="str">
        <f t="shared" ref="D208:J208" si="68">C72*$C208*D$124</f>
        <v>  -   </v>
      </c>
      <c r="E208" s="116" t="str">
        <f t="shared" si="68"/>
        <v>  -   </v>
      </c>
      <c r="F208" s="116" t="str">
        <f t="shared" si="68"/>
        <v>  -   </v>
      </c>
      <c r="G208" s="116" t="str">
        <f t="shared" si="68"/>
        <v>  -   </v>
      </c>
      <c r="H208" s="116" t="str">
        <f t="shared" si="68"/>
        <v>  -   </v>
      </c>
      <c r="I208" s="116" t="str">
        <f t="shared" si="68"/>
        <v>  -   </v>
      </c>
      <c r="J208" s="116" t="str">
        <f t="shared" si="68"/>
        <v>  -   </v>
      </c>
      <c r="K208" s="111"/>
      <c r="L208" s="111"/>
      <c r="M208" s="111"/>
      <c r="N208" s="111"/>
      <c r="O208" s="111"/>
      <c r="P208" s="111"/>
      <c r="Q208" s="111"/>
      <c r="R208" s="111"/>
      <c r="S208" s="111"/>
      <c r="T208" s="111"/>
      <c r="U208" s="111"/>
      <c r="V208" s="111"/>
      <c r="W208" s="111"/>
    </row>
    <row r="209" ht="14.25" customHeight="1">
      <c r="A209" s="73" t="str">
        <f t="shared" si="58"/>
        <v>Jawar</v>
      </c>
      <c r="B209" s="73"/>
      <c r="C209" s="380">
        <v>25.0</v>
      </c>
      <c r="D209" s="116" t="str">
        <f t="shared" ref="D209:J209" si="69">C73*$C209*D$124</f>
        <v>  -   </v>
      </c>
      <c r="E209" s="116" t="str">
        <f t="shared" si="69"/>
        <v>  -   </v>
      </c>
      <c r="F209" s="116" t="str">
        <f t="shared" si="69"/>
        <v>  -   </v>
      </c>
      <c r="G209" s="116" t="str">
        <f t="shared" si="69"/>
        <v>  -   </v>
      </c>
      <c r="H209" s="116" t="str">
        <f t="shared" si="69"/>
        <v>  -   </v>
      </c>
      <c r="I209" s="116" t="str">
        <f t="shared" si="69"/>
        <v>  -   </v>
      </c>
      <c r="J209" s="116" t="str">
        <f t="shared" si="69"/>
        <v>  -   </v>
      </c>
      <c r="K209" s="111"/>
      <c r="L209" s="111"/>
      <c r="M209" s="111"/>
      <c r="N209" s="111"/>
      <c r="O209" s="111"/>
      <c r="P209" s="111"/>
      <c r="Q209" s="111"/>
      <c r="R209" s="111"/>
      <c r="S209" s="111"/>
      <c r="T209" s="111"/>
      <c r="U209" s="111"/>
      <c r="V209" s="111"/>
      <c r="W209" s="111"/>
    </row>
    <row r="210" ht="14.25" customHeight="1">
      <c r="A210" s="73" t="str">
        <f t="shared" si="58"/>
        <v>Maize</v>
      </c>
      <c r="B210" s="73"/>
      <c r="C210" s="380">
        <v>25.0</v>
      </c>
      <c r="D210" s="116" t="str">
        <f t="shared" ref="D210:J210" si="70">C74*$C210*D$124</f>
        <v>  -   </v>
      </c>
      <c r="E210" s="116" t="str">
        <f t="shared" si="70"/>
        <v>  -   </v>
      </c>
      <c r="F210" s="116" t="str">
        <f t="shared" si="70"/>
        <v>  -   </v>
      </c>
      <c r="G210" s="116" t="str">
        <f t="shared" si="70"/>
        <v>  -   </v>
      </c>
      <c r="H210" s="116" t="str">
        <f t="shared" si="70"/>
        <v>  -   </v>
      </c>
      <c r="I210" s="116" t="str">
        <f t="shared" si="70"/>
        <v>  -   </v>
      </c>
      <c r="J210" s="116" t="str">
        <f t="shared" si="70"/>
        <v>  -   </v>
      </c>
      <c r="K210" s="111"/>
      <c r="L210" s="111"/>
      <c r="M210" s="111"/>
      <c r="N210" s="111"/>
      <c r="O210" s="111"/>
      <c r="P210" s="111"/>
      <c r="Q210" s="111"/>
      <c r="R210" s="111"/>
      <c r="S210" s="111"/>
      <c r="T210" s="111"/>
      <c r="U210" s="111"/>
      <c r="V210" s="111"/>
      <c r="W210" s="111"/>
    </row>
    <row r="211" ht="14.25" customHeight="1">
      <c r="A211" s="73" t="str">
        <f t="shared" si="58"/>
        <v>Safflower</v>
      </c>
      <c r="B211" s="73"/>
      <c r="C211" s="380">
        <v>25.0</v>
      </c>
      <c r="D211" s="116" t="str">
        <f t="shared" ref="D211:J211" si="71">C75*$C211*D$124</f>
        <v>  -   </v>
      </c>
      <c r="E211" s="116" t="str">
        <f t="shared" si="71"/>
        <v>  -   </v>
      </c>
      <c r="F211" s="116" t="str">
        <f t="shared" si="71"/>
        <v>  -   </v>
      </c>
      <c r="G211" s="116" t="str">
        <f t="shared" si="71"/>
        <v>  -   </v>
      </c>
      <c r="H211" s="116" t="str">
        <f t="shared" si="71"/>
        <v>  -   </v>
      </c>
      <c r="I211" s="116" t="str">
        <f t="shared" si="71"/>
        <v>  -   </v>
      </c>
      <c r="J211" s="116" t="str">
        <f t="shared" si="71"/>
        <v>  -   </v>
      </c>
      <c r="K211" s="111"/>
      <c r="L211" s="111"/>
      <c r="M211" s="111"/>
      <c r="N211" s="111"/>
      <c r="O211" s="111"/>
      <c r="P211" s="111"/>
      <c r="Q211" s="111"/>
      <c r="R211" s="111"/>
      <c r="S211" s="111"/>
      <c r="T211" s="111"/>
      <c r="U211" s="111"/>
      <c r="V211" s="111"/>
      <c r="W211" s="111"/>
    </row>
    <row r="212" ht="14.25" customHeight="1">
      <c r="A212" s="73" t="str">
        <f t="shared" si="58"/>
        <v/>
      </c>
      <c r="B212" s="73"/>
      <c r="C212" s="380"/>
      <c r="D212" s="116" t="str">
        <f t="shared" ref="D212:J212" si="72">C76*$C212*D$124</f>
        <v>  -   </v>
      </c>
      <c r="E212" s="116" t="str">
        <f t="shared" si="72"/>
        <v>  -   </v>
      </c>
      <c r="F212" s="116" t="str">
        <f t="shared" si="72"/>
        <v>  -   </v>
      </c>
      <c r="G212" s="116" t="str">
        <f t="shared" si="72"/>
        <v>  -   </v>
      </c>
      <c r="H212" s="116" t="str">
        <f t="shared" si="72"/>
        <v>  -   </v>
      </c>
      <c r="I212" s="116" t="str">
        <f t="shared" si="72"/>
        <v>  -   </v>
      </c>
      <c r="J212" s="116" t="str">
        <f t="shared" si="72"/>
        <v>  -   </v>
      </c>
      <c r="K212" s="111"/>
      <c r="L212" s="111"/>
      <c r="M212" s="111"/>
      <c r="N212" s="111"/>
      <c r="O212" s="111"/>
      <c r="P212" s="111"/>
      <c r="Q212" s="111"/>
      <c r="R212" s="111"/>
      <c r="S212" s="111"/>
      <c r="T212" s="111"/>
      <c r="U212" s="111"/>
      <c r="V212" s="111"/>
      <c r="W212" s="111"/>
    </row>
    <row r="213" ht="14.25" customHeight="1">
      <c r="A213" s="73" t="str">
        <f t="shared" si="58"/>
        <v/>
      </c>
      <c r="B213" s="73"/>
      <c r="C213" s="380"/>
      <c r="D213" s="116" t="str">
        <f t="shared" ref="D213:J213" si="73">C77*$C213*D$124</f>
        <v>  -   </v>
      </c>
      <c r="E213" s="116" t="str">
        <f t="shared" si="73"/>
        <v>  -   </v>
      </c>
      <c r="F213" s="116" t="str">
        <f t="shared" si="73"/>
        <v>  -   </v>
      </c>
      <c r="G213" s="116" t="str">
        <f t="shared" si="73"/>
        <v>  -   </v>
      </c>
      <c r="H213" s="116" t="str">
        <f t="shared" si="73"/>
        <v>  -   </v>
      </c>
      <c r="I213" s="116" t="str">
        <f t="shared" si="73"/>
        <v>  -   </v>
      </c>
      <c r="J213" s="116" t="str">
        <f t="shared" si="73"/>
        <v>  -   </v>
      </c>
      <c r="K213" s="111"/>
      <c r="L213" s="111"/>
      <c r="M213" s="111"/>
      <c r="N213" s="111"/>
      <c r="O213" s="111"/>
      <c r="P213" s="111"/>
      <c r="Q213" s="111"/>
      <c r="R213" s="111"/>
      <c r="S213" s="111"/>
      <c r="T213" s="111"/>
      <c r="U213" s="111"/>
      <c r="V213" s="111"/>
      <c r="W213" s="111"/>
    </row>
    <row r="214" ht="14.25" customHeight="1">
      <c r="A214" s="73" t="str">
        <f t="shared" si="58"/>
        <v/>
      </c>
      <c r="B214" s="73"/>
      <c r="C214" s="380"/>
      <c r="D214" s="116" t="str">
        <f t="shared" ref="D214:J214" si="74">C78*$C214*D$124</f>
        <v>  -   </v>
      </c>
      <c r="E214" s="116" t="str">
        <f t="shared" si="74"/>
        <v>  -   </v>
      </c>
      <c r="F214" s="116" t="str">
        <f t="shared" si="74"/>
        <v>  -   </v>
      </c>
      <c r="G214" s="116" t="str">
        <f t="shared" si="74"/>
        <v>  -   </v>
      </c>
      <c r="H214" s="116" t="str">
        <f t="shared" si="74"/>
        <v>  -   </v>
      </c>
      <c r="I214" s="116" t="str">
        <f t="shared" si="74"/>
        <v>  -   </v>
      </c>
      <c r="J214" s="116" t="str">
        <f t="shared" si="74"/>
        <v>  -   </v>
      </c>
      <c r="K214" s="111"/>
      <c r="L214" s="111"/>
      <c r="M214" s="111"/>
      <c r="N214" s="111"/>
      <c r="O214" s="111"/>
      <c r="P214" s="111"/>
      <c r="Q214" s="111"/>
      <c r="R214" s="111"/>
      <c r="S214" s="111"/>
      <c r="T214" s="111"/>
      <c r="U214" s="111"/>
      <c r="V214" s="111"/>
      <c r="W214" s="111"/>
    </row>
    <row r="215" ht="14.25" customHeight="1">
      <c r="A215" s="73" t="str">
        <f t="shared" si="58"/>
        <v>Summer</v>
      </c>
      <c r="B215" s="73"/>
      <c r="C215" s="380"/>
      <c r="D215" s="116" t="str">
        <f t="shared" ref="D215:J215" si="75">C79*$C215*D$124</f>
        <v>  -   </v>
      </c>
      <c r="E215" s="116" t="str">
        <f t="shared" si="75"/>
        <v>  -   </v>
      </c>
      <c r="F215" s="116" t="str">
        <f t="shared" si="75"/>
        <v>  -   </v>
      </c>
      <c r="G215" s="116" t="str">
        <f t="shared" si="75"/>
        <v>  -   </v>
      </c>
      <c r="H215" s="116" t="str">
        <f t="shared" si="75"/>
        <v>  -   </v>
      </c>
      <c r="I215" s="116" t="str">
        <f t="shared" si="75"/>
        <v>  -   </v>
      </c>
      <c r="J215" s="116" t="str">
        <f t="shared" si="75"/>
        <v>  -   </v>
      </c>
      <c r="K215" s="111"/>
      <c r="L215" s="111"/>
      <c r="M215" s="111"/>
      <c r="N215" s="111"/>
      <c r="O215" s="111"/>
      <c r="P215" s="111"/>
      <c r="Q215" s="111"/>
      <c r="R215" s="111"/>
      <c r="S215" s="111"/>
      <c r="T215" s="111"/>
      <c r="U215" s="111"/>
      <c r="V215" s="111"/>
      <c r="W215" s="111"/>
    </row>
    <row r="216" ht="14.25" customHeight="1">
      <c r="A216" s="73" t="str">
        <f t="shared" si="58"/>
        <v>Groundnut</v>
      </c>
      <c r="B216" s="73"/>
      <c r="C216" s="380"/>
      <c r="D216" s="116" t="str">
        <f t="shared" ref="D216:J216" si="76">C80*$C216*D$124</f>
        <v>  -   </v>
      </c>
      <c r="E216" s="116" t="str">
        <f t="shared" si="76"/>
        <v>  -   </v>
      </c>
      <c r="F216" s="116" t="str">
        <f t="shared" si="76"/>
        <v>  -   </v>
      </c>
      <c r="G216" s="116" t="str">
        <f t="shared" si="76"/>
        <v>  -   </v>
      </c>
      <c r="H216" s="116" t="str">
        <f t="shared" si="76"/>
        <v>  -   </v>
      </c>
      <c r="I216" s="116" t="str">
        <f t="shared" si="76"/>
        <v>  -   </v>
      </c>
      <c r="J216" s="116" t="str">
        <f t="shared" si="76"/>
        <v>  -   </v>
      </c>
      <c r="K216" s="111"/>
      <c r="L216" s="111"/>
      <c r="M216" s="111"/>
      <c r="N216" s="111"/>
      <c r="O216" s="111"/>
      <c r="P216" s="111"/>
      <c r="Q216" s="111"/>
      <c r="R216" s="111"/>
      <c r="S216" s="111"/>
      <c r="T216" s="111"/>
      <c r="U216" s="111"/>
      <c r="V216" s="111"/>
      <c r="W216" s="111"/>
    </row>
    <row r="217" ht="14.25" customHeight="1">
      <c r="A217" s="73" t="str">
        <f t="shared" si="58"/>
        <v/>
      </c>
      <c r="B217" s="73"/>
      <c r="C217" s="380"/>
      <c r="D217" s="116" t="str">
        <f t="shared" ref="D217:J217" si="77">C81*$C217*D$124</f>
        <v>  -   </v>
      </c>
      <c r="E217" s="116" t="str">
        <f t="shared" si="77"/>
        <v>  -   </v>
      </c>
      <c r="F217" s="116" t="str">
        <f t="shared" si="77"/>
        <v>  -   </v>
      </c>
      <c r="G217" s="116" t="str">
        <f t="shared" si="77"/>
        <v>  -   </v>
      </c>
      <c r="H217" s="116" t="str">
        <f t="shared" si="77"/>
        <v>  -   </v>
      </c>
      <c r="I217" s="116" t="str">
        <f t="shared" si="77"/>
        <v>  -   </v>
      </c>
      <c r="J217" s="116" t="str">
        <f t="shared" si="77"/>
        <v>  -   </v>
      </c>
      <c r="K217" s="111"/>
      <c r="L217" s="111"/>
      <c r="M217" s="111"/>
      <c r="N217" s="111"/>
      <c r="O217" s="111"/>
      <c r="P217" s="111"/>
      <c r="Q217" s="111"/>
      <c r="R217" s="111"/>
      <c r="S217" s="111"/>
      <c r="T217" s="111"/>
      <c r="U217" s="111"/>
      <c r="V217" s="111"/>
      <c r="W217" s="111"/>
    </row>
    <row r="218" ht="14.25" customHeight="1">
      <c r="A218" s="73" t="str">
        <f t="shared" si="58"/>
        <v/>
      </c>
      <c r="B218" s="73"/>
      <c r="C218" s="380"/>
      <c r="D218" s="116" t="str">
        <f t="shared" ref="D218:J218" si="78">C82*$C218*D$124</f>
        <v>  -   </v>
      </c>
      <c r="E218" s="116" t="str">
        <f t="shared" si="78"/>
        <v>  -   </v>
      </c>
      <c r="F218" s="116" t="str">
        <f t="shared" si="78"/>
        <v>  -   </v>
      </c>
      <c r="G218" s="116" t="str">
        <f t="shared" si="78"/>
        <v>  -   </v>
      </c>
      <c r="H218" s="116" t="str">
        <f t="shared" si="78"/>
        <v>  -   </v>
      </c>
      <c r="I218" s="116" t="str">
        <f t="shared" si="78"/>
        <v>  -   </v>
      </c>
      <c r="J218" s="116" t="str">
        <f t="shared" si="78"/>
        <v>  -   </v>
      </c>
      <c r="K218" s="111"/>
      <c r="L218" s="111"/>
      <c r="M218" s="111"/>
      <c r="N218" s="111"/>
      <c r="O218" s="111"/>
      <c r="P218" s="111"/>
      <c r="Q218" s="111"/>
      <c r="R218" s="111"/>
      <c r="S218" s="111"/>
      <c r="T218" s="111"/>
      <c r="U218" s="111"/>
      <c r="V218" s="111"/>
      <c r="W218" s="111"/>
    </row>
    <row r="219" ht="14.25" customHeight="1">
      <c r="A219" s="73" t="str">
        <f t="shared" si="58"/>
        <v/>
      </c>
      <c r="B219" s="73"/>
      <c r="C219" s="380"/>
      <c r="D219" s="116" t="str">
        <f t="shared" ref="D219:J219" si="79">C83*$C219*D$124</f>
        <v>  -   </v>
      </c>
      <c r="E219" s="116" t="str">
        <f t="shared" si="79"/>
        <v>  -   </v>
      </c>
      <c r="F219" s="116" t="str">
        <f t="shared" si="79"/>
        <v>  -   </v>
      </c>
      <c r="G219" s="116" t="str">
        <f t="shared" si="79"/>
        <v>  -   </v>
      </c>
      <c r="H219" s="116" t="str">
        <f t="shared" si="79"/>
        <v>  -   </v>
      </c>
      <c r="I219" s="116" t="str">
        <f t="shared" si="79"/>
        <v>  -   </v>
      </c>
      <c r="J219" s="116" t="str">
        <f t="shared" si="79"/>
        <v>  -   </v>
      </c>
      <c r="K219" s="111"/>
      <c r="L219" s="111"/>
      <c r="M219" s="111"/>
      <c r="N219" s="111"/>
      <c r="O219" s="111"/>
      <c r="P219" s="111"/>
      <c r="Q219" s="111"/>
      <c r="R219" s="111"/>
      <c r="S219" s="111"/>
      <c r="T219" s="111"/>
      <c r="U219" s="111"/>
      <c r="V219" s="111"/>
      <c r="W219" s="111"/>
    </row>
    <row r="220" ht="14.25" customHeight="1">
      <c r="A220" s="73" t="str">
        <f t="shared" si="58"/>
        <v/>
      </c>
      <c r="B220" s="73"/>
      <c r="C220" s="380"/>
      <c r="D220" s="116" t="str">
        <f t="shared" ref="D220:J220" si="80">C84*$C220*D$124</f>
        <v>  -   </v>
      </c>
      <c r="E220" s="116" t="str">
        <f t="shared" si="80"/>
        <v>  -   </v>
      </c>
      <c r="F220" s="116" t="str">
        <f t="shared" si="80"/>
        <v>  -   </v>
      </c>
      <c r="G220" s="116" t="str">
        <f t="shared" si="80"/>
        <v>  -   </v>
      </c>
      <c r="H220" s="116" t="str">
        <f t="shared" si="80"/>
        <v>  -   </v>
      </c>
      <c r="I220" s="116" t="str">
        <f t="shared" si="80"/>
        <v>  -   </v>
      </c>
      <c r="J220" s="116" t="str">
        <f t="shared" si="80"/>
        <v>  -   </v>
      </c>
      <c r="K220" s="111"/>
      <c r="L220" s="111"/>
      <c r="M220" s="111"/>
      <c r="N220" s="111"/>
      <c r="O220" s="111"/>
      <c r="P220" s="111"/>
      <c r="Q220" s="111"/>
      <c r="R220" s="111"/>
      <c r="S220" s="111"/>
      <c r="T220" s="111"/>
      <c r="U220" s="111"/>
      <c r="V220" s="111"/>
      <c r="W220" s="111"/>
    </row>
    <row r="221" ht="14.25" customHeight="1">
      <c r="A221" s="73" t="str">
        <f t="shared" si="58"/>
        <v>Fruit  &amp; Vegetables Crop Production Details</v>
      </c>
      <c r="B221" s="73"/>
      <c r="C221" s="116"/>
      <c r="D221" s="116"/>
      <c r="E221" s="116"/>
      <c r="F221" s="116"/>
      <c r="G221" s="116"/>
      <c r="H221" s="116"/>
      <c r="I221" s="116"/>
      <c r="J221" s="116"/>
      <c r="K221" s="111"/>
      <c r="L221" s="111"/>
      <c r="M221" s="111"/>
      <c r="N221" s="111"/>
      <c r="O221" s="111"/>
      <c r="P221" s="111"/>
      <c r="Q221" s="111"/>
      <c r="R221" s="111"/>
      <c r="S221" s="111"/>
      <c r="T221" s="111"/>
      <c r="U221" s="111"/>
      <c r="V221" s="111"/>
      <c r="W221" s="111"/>
    </row>
    <row r="222" ht="14.25" customHeight="1">
      <c r="A222" s="73" t="str">
        <f t="shared" si="58"/>
        <v>Onion</v>
      </c>
      <c r="B222" s="73"/>
      <c r="C222" s="380"/>
      <c r="D222" s="116" t="str">
        <f t="shared" ref="D222:J222" si="81">C86*$C222*D$124</f>
        <v>  -   </v>
      </c>
      <c r="E222" s="116" t="str">
        <f t="shared" si="81"/>
        <v>  -   </v>
      </c>
      <c r="F222" s="116" t="str">
        <f t="shared" si="81"/>
        <v>  -   </v>
      </c>
      <c r="G222" s="116" t="str">
        <f t="shared" si="81"/>
        <v>  -   </v>
      </c>
      <c r="H222" s="116" t="str">
        <f t="shared" si="81"/>
        <v>  -   </v>
      </c>
      <c r="I222" s="116" t="str">
        <f t="shared" si="81"/>
        <v>  -   </v>
      </c>
      <c r="J222" s="116" t="str">
        <f t="shared" si="81"/>
        <v>  -   </v>
      </c>
      <c r="K222" s="111"/>
      <c r="L222" s="111"/>
      <c r="M222" s="111"/>
      <c r="N222" s="111"/>
      <c r="O222" s="111"/>
      <c r="P222" s="111"/>
      <c r="Q222" s="111"/>
      <c r="R222" s="111"/>
      <c r="S222" s="111"/>
      <c r="T222" s="111"/>
      <c r="U222" s="111"/>
      <c r="V222" s="111"/>
      <c r="W222" s="111"/>
    </row>
    <row r="223" ht="14.25" customHeight="1">
      <c r="A223" s="73" t="str">
        <f t="shared" si="58"/>
        <v>Tomato</v>
      </c>
      <c r="B223" s="73"/>
      <c r="C223" s="380"/>
      <c r="D223" s="116" t="str">
        <f t="shared" ref="D223:J223" si="82">C87*$C223*D$124</f>
        <v>  -   </v>
      </c>
      <c r="E223" s="116" t="str">
        <f t="shared" si="82"/>
        <v>  -   </v>
      </c>
      <c r="F223" s="116" t="str">
        <f t="shared" si="82"/>
        <v>  -   </v>
      </c>
      <c r="G223" s="116" t="str">
        <f t="shared" si="82"/>
        <v>  -   </v>
      </c>
      <c r="H223" s="116" t="str">
        <f t="shared" si="82"/>
        <v>  -   </v>
      </c>
      <c r="I223" s="116" t="str">
        <f t="shared" si="82"/>
        <v>  -   </v>
      </c>
      <c r="J223" s="116" t="str">
        <f t="shared" si="82"/>
        <v>  -   </v>
      </c>
      <c r="K223" s="111"/>
      <c r="L223" s="111"/>
      <c r="M223" s="111"/>
      <c r="N223" s="111"/>
      <c r="O223" s="111"/>
      <c r="P223" s="111"/>
      <c r="Q223" s="111"/>
      <c r="R223" s="111"/>
      <c r="S223" s="111"/>
      <c r="T223" s="111"/>
      <c r="U223" s="111"/>
      <c r="V223" s="111"/>
      <c r="W223" s="111"/>
    </row>
    <row r="224" ht="14.25" customHeight="1">
      <c r="A224" s="73" t="str">
        <f t="shared" si="58"/>
        <v>Okra</v>
      </c>
      <c r="B224" s="73"/>
      <c r="C224" s="380"/>
      <c r="D224" s="116" t="str">
        <f t="shared" ref="D224:J224" si="83">C88*$C224*D$124</f>
        <v>  -   </v>
      </c>
      <c r="E224" s="116" t="str">
        <f t="shared" si="83"/>
        <v>  -   </v>
      </c>
      <c r="F224" s="116" t="str">
        <f t="shared" si="83"/>
        <v>  -   </v>
      </c>
      <c r="G224" s="116" t="str">
        <f t="shared" si="83"/>
        <v>  -   </v>
      </c>
      <c r="H224" s="116" t="str">
        <f t="shared" si="83"/>
        <v>  -   </v>
      </c>
      <c r="I224" s="116" t="str">
        <f t="shared" si="83"/>
        <v>  -   </v>
      </c>
      <c r="J224" s="116" t="str">
        <f t="shared" si="83"/>
        <v>  -   </v>
      </c>
      <c r="K224" s="111"/>
      <c r="L224" s="111"/>
      <c r="M224" s="111"/>
      <c r="N224" s="111"/>
      <c r="O224" s="111"/>
      <c r="P224" s="111"/>
      <c r="Q224" s="111"/>
      <c r="R224" s="111"/>
      <c r="S224" s="111"/>
      <c r="T224" s="111"/>
      <c r="U224" s="111"/>
      <c r="V224" s="111"/>
      <c r="W224" s="111"/>
    </row>
    <row r="225" ht="14.25" customHeight="1">
      <c r="A225" s="73" t="str">
        <f t="shared" si="58"/>
        <v>Chilli</v>
      </c>
      <c r="B225" s="73"/>
      <c r="C225" s="380"/>
      <c r="D225" s="116" t="str">
        <f t="shared" ref="D225:J225" si="84">C89*$C225*D$124</f>
        <v>  -   </v>
      </c>
      <c r="E225" s="116" t="str">
        <f t="shared" si="84"/>
        <v>  -   </v>
      </c>
      <c r="F225" s="116" t="str">
        <f t="shared" si="84"/>
        <v>  -   </v>
      </c>
      <c r="G225" s="116" t="str">
        <f t="shared" si="84"/>
        <v>  -   </v>
      </c>
      <c r="H225" s="116" t="str">
        <f t="shared" si="84"/>
        <v>  -   </v>
      </c>
      <c r="I225" s="116" t="str">
        <f t="shared" si="84"/>
        <v>  -   </v>
      </c>
      <c r="J225" s="116" t="str">
        <f t="shared" si="84"/>
        <v>  -   </v>
      </c>
      <c r="K225" s="111"/>
      <c r="L225" s="111"/>
      <c r="M225" s="111"/>
      <c r="N225" s="111"/>
      <c r="O225" s="111"/>
      <c r="P225" s="111"/>
      <c r="Q225" s="111"/>
      <c r="R225" s="111"/>
      <c r="S225" s="111"/>
      <c r="T225" s="111"/>
      <c r="U225" s="111"/>
      <c r="V225" s="111"/>
      <c r="W225" s="111"/>
    </row>
    <row r="226" ht="14.25" customHeight="1">
      <c r="A226" s="73" t="str">
        <f t="shared" si="58"/>
        <v>Potato</v>
      </c>
      <c r="B226" s="73"/>
      <c r="C226" s="380"/>
      <c r="D226" s="116" t="str">
        <f t="shared" ref="D226:J226" si="85">C90*$C226*D$124</f>
        <v>  -   </v>
      </c>
      <c r="E226" s="116" t="str">
        <f t="shared" si="85"/>
        <v>  -   </v>
      </c>
      <c r="F226" s="116" t="str">
        <f t="shared" si="85"/>
        <v>  -   </v>
      </c>
      <c r="G226" s="116" t="str">
        <f t="shared" si="85"/>
        <v>  -   </v>
      </c>
      <c r="H226" s="116" t="str">
        <f t="shared" si="85"/>
        <v>  -   </v>
      </c>
      <c r="I226" s="116" t="str">
        <f t="shared" si="85"/>
        <v>  -   </v>
      </c>
      <c r="J226" s="116" t="str">
        <f t="shared" si="85"/>
        <v>  -   </v>
      </c>
      <c r="K226" s="111"/>
      <c r="L226" s="111"/>
      <c r="M226" s="111"/>
      <c r="N226" s="111"/>
      <c r="O226" s="111"/>
      <c r="P226" s="111"/>
      <c r="Q226" s="111"/>
      <c r="R226" s="111"/>
      <c r="S226" s="111"/>
      <c r="T226" s="111"/>
      <c r="U226" s="111"/>
      <c r="V226" s="111"/>
      <c r="W226" s="111"/>
    </row>
    <row r="227" ht="14.25" customHeight="1">
      <c r="A227" s="73" t="str">
        <f t="shared" si="58"/>
        <v/>
      </c>
      <c r="B227" s="73"/>
      <c r="C227" s="380"/>
      <c r="D227" s="116" t="str">
        <f t="shared" ref="D227:J227" si="86">C91*$C227*D$124</f>
        <v>  -   </v>
      </c>
      <c r="E227" s="116" t="str">
        <f t="shared" si="86"/>
        <v>  -   </v>
      </c>
      <c r="F227" s="116" t="str">
        <f t="shared" si="86"/>
        <v>  -   </v>
      </c>
      <c r="G227" s="116" t="str">
        <f t="shared" si="86"/>
        <v>  -   </v>
      </c>
      <c r="H227" s="116" t="str">
        <f t="shared" si="86"/>
        <v>  -   </v>
      </c>
      <c r="I227" s="116" t="str">
        <f t="shared" si="86"/>
        <v>  -   </v>
      </c>
      <c r="J227" s="116" t="str">
        <f t="shared" si="86"/>
        <v>  -   </v>
      </c>
      <c r="K227" s="111"/>
      <c r="L227" s="111"/>
      <c r="M227" s="111"/>
      <c r="N227" s="111"/>
      <c r="O227" s="111"/>
      <c r="P227" s="111"/>
      <c r="Q227" s="111"/>
      <c r="R227" s="111"/>
      <c r="S227" s="111"/>
      <c r="T227" s="111"/>
      <c r="U227" s="111"/>
      <c r="V227" s="111"/>
      <c r="W227" s="111"/>
    </row>
    <row r="228" ht="14.25" customHeight="1">
      <c r="A228" s="73" t="str">
        <f t="shared" si="58"/>
        <v/>
      </c>
      <c r="B228" s="73"/>
      <c r="C228" s="380"/>
      <c r="D228" s="116" t="str">
        <f t="shared" ref="D228:J228" si="87">C92*$C228*D$124</f>
        <v>  -   </v>
      </c>
      <c r="E228" s="116" t="str">
        <f t="shared" si="87"/>
        <v>  -   </v>
      </c>
      <c r="F228" s="116" t="str">
        <f t="shared" si="87"/>
        <v>  -   </v>
      </c>
      <c r="G228" s="116" t="str">
        <f t="shared" si="87"/>
        <v>  -   </v>
      </c>
      <c r="H228" s="116" t="str">
        <f t="shared" si="87"/>
        <v>  -   </v>
      </c>
      <c r="I228" s="116" t="str">
        <f t="shared" si="87"/>
        <v>  -   </v>
      </c>
      <c r="J228" s="116" t="str">
        <f t="shared" si="87"/>
        <v>  -   </v>
      </c>
      <c r="K228" s="111"/>
      <c r="L228" s="111"/>
      <c r="M228" s="111"/>
      <c r="N228" s="111"/>
      <c r="O228" s="111"/>
      <c r="P228" s="111"/>
      <c r="Q228" s="111"/>
      <c r="R228" s="111"/>
      <c r="S228" s="111"/>
      <c r="T228" s="111"/>
      <c r="U228" s="111"/>
      <c r="V228" s="111"/>
      <c r="W228" s="111"/>
    </row>
    <row r="229" ht="14.25" customHeight="1">
      <c r="A229" s="73" t="str">
        <f t="shared" si="58"/>
        <v/>
      </c>
      <c r="B229" s="73"/>
      <c r="C229" s="380"/>
      <c r="D229" s="116" t="str">
        <f t="shared" ref="D229:J229" si="88">C93*$C229*D$124</f>
        <v>  -   </v>
      </c>
      <c r="E229" s="116" t="str">
        <f t="shared" si="88"/>
        <v>  -   </v>
      </c>
      <c r="F229" s="116" t="str">
        <f t="shared" si="88"/>
        <v>  -   </v>
      </c>
      <c r="G229" s="116" t="str">
        <f t="shared" si="88"/>
        <v>  -   </v>
      </c>
      <c r="H229" s="116" t="str">
        <f t="shared" si="88"/>
        <v>  -   </v>
      </c>
      <c r="I229" s="116" t="str">
        <f t="shared" si="88"/>
        <v>  -   </v>
      </c>
      <c r="J229" s="116" t="str">
        <f t="shared" si="88"/>
        <v>  -   </v>
      </c>
      <c r="K229" s="111"/>
      <c r="L229" s="111"/>
      <c r="M229" s="111"/>
      <c r="N229" s="111"/>
      <c r="O229" s="111"/>
      <c r="P229" s="111"/>
      <c r="Q229" s="111"/>
      <c r="R229" s="111"/>
      <c r="S229" s="111"/>
      <c r="T229" s="111"/>
      <c r="U229" s="111"/>
      <c r="V229" s="111"/>
      <c r="W229" s="111"/>
    </row>
    <row r="230" ht="14.25" customHeight="1">
      <c r="A230" s="73" t="str">
        <f t="shared" si="58"/>
        <v/>
      </c>
      <c r="B230" s="73"/>
      <c r="C230" s="380"/>
      <c r="D230" s="116" t="str">
        <f t="shared" ref="D230:J230" si="89">C94*$C230*D$124</f>
        <v>  -   </v>
      </c>
      <c r="E230" s="116" t="str">
        <f t="shared" si="89"/>
        <v>  -   </v>
      </c>
      <c r="F230" s="116" t="str">
        <f t="shared" si="89"/>
        <v>  -   </v>
      </c>
      <c r="G230" s="116" t="str">
        <f t="shared" si="89"/>
        <v>  -   </v>
      </c>
      <c r="H230" s="116" t="str">
        <f t="shared" si="89"/>
        <v>  -   </v>
      </c>
      <c r="I230" s="116" t="str">
        <f t="shared" si="89"/>
        <v>  -   </v>
      </c>
      <c r="J230" s="116" t="str">
        <f t="shared" si="89"/>
        <v>  -   </v>
      </c>
      <c r="K230" s="111"/>
      <c r="L230" s="111"/>
      <c r="M230" s="111"/>
      <c r="N230" s="111"/>
      <c r="O230" s="111"/>
      <c r="P230" s="111"/>
      <c r="Q230" s="111"/>
      <c r="R230" s="111"/>
      <c r="S230" s="111"/>
      <c r="T230" s="111"/>
      <c r="U230" s="111"/>
      <c r="V230" s="111"/>
      <c r="W230" s="111"/>
    </row>
    <row r="231" ht="14.25" customHeight="1">
      <c r="A231" s="73" t="str">
        <f t="shared" si="58"/>
        <v>Onion</v>
      </c>
      <c r="B231" s="73"/>
      <c r="C231" s="380"/>
      <c r="D231" s="116" t="str">
        <f t="shared" ref="D231:J231" si="90">C95*$C231*D$124</f>
        <v>  -   </v>
      </c>
      <c r="E231" s="116" t="str">
        <f t="shared" si="90"/>
        <v>  -   </v>
      </c>
      <c r="F231" s="116" t="str">
        <f t="shared" si="90"/>
        <v>  -   </v>
      </c>
      <c r="G231" s="116" t="str">
        <f t="shared" si="90"/>
        <v>  -   </v>
      </c>
      <c r="H231" s="116" t="str">
        <f t="shared" si="90"/>
        <v>  -   </v>
      </c>
      <c r="I231" s="116" t="str">
        <f t="shared" si="90"/>
        <v>  -   </v>
      </c>
      <c r="J231" s="116" t="str">
        <f t="shared" si="90"/>
        <v>  -   </v>
      </c>
      <c r="K231" s="111"/>
      <c r="L231" s="111"/>
      <c r="M231" s="111"/>
      <c r="N231" s="111"/>
      <c r="O231" s="111"/>
      <c r="P231" s="111"/>
      <c r="Q231" s="111"/>
      <c r="R231" s="111"/>
      <c r="S231" s="111"/>
      <c r="T231" s="111"/>
      <c r="U231" s="111"/>
      <c r="V231" s="111"/>
      <c r="W231" s="111"/>
    </row>
    <row r="232" ht="14.25" customHeight="1">
      <c r="A232" s="73" t="str">
        <f t="shared" si="58"/>
        <v>Tomato</v>
      </c>
      <c r="B232" s="73"/>
      <c r="C232" s="380"/>
      <c r="D232" s="116" t="str">
        <f t="shared" ref="D232:J232" si="91">C96*$C232*D$124</f>
        <v>  -   </v>
      </c>
      <c r="E232" s="116" t="str">
        <f t="shared" si="91"/>
        <v>  -   </v>
      </c>
      <c r="F232" s="116" t="str">
        <f t="shared" si="91"/>
        <v>  -   </v>
      </c>
      <c r="G232" s="116" t="str">
        <f t="shared" si="91"/>
        <v>  -   </v>
      </c>
      <c r="H232" s="116" t="str">
        <f t="shared" si="91"/>
        <v>  -   </v>
      </c>
      <c r="I232" s="116" t="str">
        <f t="shared" si="91"/>
        <v>  -   </v>
      </c>
      <c r="J232" s="116" t="str">
        <f t="shared" si="91"/>
        <v>  -   </v>
      </c>
      <c r="K232" s="111"/>
      <c r="L232" s="111"/>
      <c r="M232" s="111"/>
      <c r="N232" s="111"/>
      <c r="O232" s="111"/>
      <c r="P232" s="111"/>
      <c r="Q232" s="111"/>
      <c r="R232" s="111"/>
      <c r="S232" s="111"/>
      <c r="T232" s="111"/>
      <c r="U232" s="111"/>
      <c r="V232" s="111"/>
      <c r="W232" s="111"/>
    </row>
    <row r="233" ht="14.25" customHeight="1">
      <c r="A233" s="73" t="str">
        <f t="shared" si="58"/>
        <v>Okra</v>
      </c>
      <c r="B233" s="73"/>
      <c r="C233" s="380"/>
      <c r="D233" s="116" t="str">
        <f t="shared" ref="D233:J233" si="92">C97*$C233*D$124</f>
        <v>  -   </v>
      </c>
      <c r="E233" s="116" t="str">
        <f t="shared" si="92"/>
        <v>  -   </v>
      </c>
      <c r="F233" s="116" t="str">
        <f t="shared" si="92"/>
        <v>  -   </v>
      </c>
      <c r="G233" s="116" t="str">
        <f t="shared" si="92"/>
        <v>  -   </v>
      </c>
      <c r="H233" s="116" t="str">
        <f t="shared" si="92"/>
        <v>  -   </v>
      </c>
      <c r="I233" s="116" t="str">
        <f t="shared" si="92"/>
        <v>  -   </v>
      </c>
      <c r="J233" s="116" t="str">
        <f t="shared" si="92"/>
        <v>  -   </v>
      </c>
      <c r="K233" s="111"/>
      <c r="L233" s="111"/>
      <c r="M233" s="111"/>
      <c r="N233" s="111"/>
      <c r="O233" s="111"/>
      <c r="P233" s="111"/>
      <c r="Q233" s="111"/>
      <c r="R233" s="111"/>
      <c r="S233" s="111"/>
      <c r="T233" s="111"/>
      <c r="U233" s="111"/>
      <c r="V233" s="111"/>
      <c r="W233" s="111"/>
    </row>
    <row r="234" ht="14.25" customHeight="1">
      <c r="A234" s="73" t="str">
        <f t="shared" si="58"/>
        <v>Chilli</v>
      </c>
      <c r="B234" s="73"/>
      <c r="C234" s="380"/>
      <c r="D234" s="116" t="str">
        <f t="shared" ref="D234:J234" si="93">C98*$C234*D$124</f>
        <v>  -   </v>
      </c>
      <c r="E234" s="116" t="str">
        <f t="shared" si="93"/>
        <v>  -   </v>
      </c>
      <c r="F234" s="116" t="str">
        <f t="shared" si="93"/>
        <v>  -   </v>
      </c>
      <c r="G234" s="116" t="str">
        <f t="shared" si="93"/>
        <v>  -   </v>
      </c>
      <c r="H234" s="116" t="str">
        <f t="shared" si="93"/>
        <v>  -   </v>
      </c>
      <c r="I234" s="116" t="str">
        <f t="shared" si="93"/>
        <v>  -   </v>
      </c>
      <c r="J234" s="116" t="str">
        <f t="shared" si="93"/>
        <v>  -   </v>
      </c>
      <c r="K234" s="111"/>
      <c r="L234" s="111"/>
      <c r="M234" s="111"/>
      <c r="N234" s="111"/>
      <c r="O234" s="111"/>
      <c r="P234" s="111"/>
      <c r="Q234" s="111"/>
      <c r="R234" s="111"/>
      <c r="S234" s="111"/>
      <c r="T234" s="111"/>
      <c r="U234" s="111"/>
      <c r="V234" s="111"/>
      <c r="W234" s="111"/>
    </row>
    <row r="235" ht="14.25" customHeight="1">
      <c r="A235" s="73" t="str">
        <f t="shared" si="58"/>
        <v>Brinjal</v>
      </c>
      <c r="B235" s="73"/>
      <c r="C235" s="380"/>
      <c r="D235" s="116" t="str">
        <f t="shared" ref="D235:J235" si="94">C99*$C235*D$124</f>
        <v>  -   </v>
      </c>
      <c r="E235" s="116" t="str">
        <f t="shared" si="94"/>
        <v>  -   </v>
      </c>
      <c r="F235" s="116" t="str">
        <f t="shared" si="94"/>
        <v>  -   </v>
      </c>
      <c r="G235" s="116" t="str">
        <f t="shared" si="94"/>
        <v>  -   </v>
      </c>
      <c r="H235" s="116" t="str">
        <f t="shared" si="94"/>
        <v>  -   </v>
      </c>
      <c r="I235" s="116" t="str">
        <f t="shared" si="94"/>
        <v>  -   </v>
      </c>
      <c r="J235" s="116" t="str">
        <f t="shared" si="94"/>
        <v>  -   </v>
      </c>
      <c r="K235" s="111"/>
      <c r="L235" s="111"/>
      <c r="M235" s="111"/>
      <c r="N235" s="111"/>
      <c r="O235" s="111"/>
      <c r="P235" s="111"/>
      <c r="Q235" s="111"/>
      <c r="R235" s="111"/>
      <c r="S235" s="111"/>
      <c r="T235" s="111"/>
      <c r="U235" s="111"/>
      <c r="V235" s="111"/>
      <c r="W235" s="111"/>
    </row>
    <row r="236" ht="14.25" customHeight="1">
      <c r="A236" s="73" t="str">
        <f t="shared" si="58"/>
        <v/>
      </c>
      <c r="B236" s="73"/>
      <c r="C236" s="380"/>
      <c r="D236" s="116" t="str">
        <f t="shared" ref="D236:J236" si="95">C100*$C236*D$124</f>
        <v>  -   </v>
      </c>
      <c r="E236" s="116" t="str">
        <f t="shared" si="95"/>
        <v>  -   </v>
      </c>
      <c r="F236" s="116" t="str">
        <f t="shared" si="95"/>
        <v>  -   </v>
      </c>
      <c r="G236" s="116" t="str">
        <f t="shared" si="95"/>
        <v>  -   </v>
      </c>
      <c r="H236" s="116" t="str">
        <f t="shared" si="95"/>
        <v>  -   </v>
      </c>
      <c r="I236" s="116" t="str">
        <f t="shared" si="95"/>
        <v>  -   </v>
      </c>
      <c r="J236" s="116" t="str">
        <f t="shared" si="95"/>
        <v>  -   </v>
      </c>
      <c r="K236" s="111"/>
      <c r="L236" s="111"/>
      <c r="M236" s="111"/>
      <c r="N236" s="111"/>
      <c r="O236" s="111"/>
      <c r="P236" s="111"/>
      <c r="Q236" s="111"/>
      <c r="R236" s="111"/>
      <c r="S236" s="111"/>
      <c r="T236" s="111"/>
      <c r="U236" s="111"/>
      <c r="V236" s="111"/>
      <c r="W236" s="111"/>
    </row>
    <row r="237" ht="14.25" customHeight="1">
      <c r="A237" s="73" t="str">
        <f t="shared" si="58"/>
        <v/>
      </c>
      <c r="B237" s="73"/>
      <c r="C237" s="380"/>
      <c r="D237" s="116" t="str">
        <f t="shared" ref="D237:J237" si="96">C101*$C237*D$124</f>
        <v>  -   </v>
      </c>
      <c r="E237" s="116" t="str">
        <f t="shared" si="96"/>
        <v>  -   </v>
      </c>
      <c r="F237" s="116" t="str">
        <f t="shared" si="96"/>
        <v>  -   </v>
      </c>
      <c r="G237" s="116" t="str">
        <f t="shared" si="96"/>
        <v>  -   </v>
      </c>
      <c r="H237" s="116" t="str">
        <f t="shared" si="96"/>
        <v>  -   </v>
      </c>
      <c r="I237" s="116" t="str">
        <f t="shared" si="96"/>
        <v>  -   </v>
      </c>
      <c r="J237" s="116" t="str">
        <f t="shared" si="96"/>
        <v>  -   </v>
      </c>
      <c r="K237" s="111"/>
      <c r="L237" s="111"/>
      <c r="M237" s="111"/>
      <c r="N237" s="111"/>
      <c r="O237" s="111"/>
      <c r="P237" s="111"/>
      <c r="Q237" s="111"/>
      <c r="R237" s="111"/>
      <c r="S237" s="111"/>
      <c r="T237" s="111"/>
      <c r="U237" s="111"/>
      <c r="V237" s="111"/>
      <c r="W237" s="111"/>
    </row>
    <row r="238" ht="14.25" customHeight="1">
      <c r="A238" s="73" t="str">
        <f t="shared" si="58"/>
        <v/>
      </c>
      <c r="B238" s="73"/>
      <c r="C238" s="380"/>
      <c r="D238" s="116" t="str">
        <f t="shared" ref="D238:J238" si="97">C102*$C238*D$124</f>
        <v>  -   </v>
      </c>
      <c r="E238" s="116" t="str">
        <f t="shared" si="97"/>
        <v>  -   </v>
      </c>
      <c r="F238" s="116" t="str">
        <f t="shared" si="97"/>
        <v>  -   </v>
      </c>
      <c r="G238" s="116" t="str">
        <f t="shared" si="97"/>
        <v>  -   </v>
      </c>
      <c r="H238" s="116" t="str">
        <f t="shared" si="97"/>
        <v>  -   </v>
      </c>
      <c r="I238" s="116" t="str">
        <f t="shared" si="97"/>
        <v>  -   </v>
      </c>
      <c r="J238" s="116" t="str">
        <f t="shared" si="97"/>
        <v>  -   </v>
      </c>
      <c r="K238" s="111"/>
      <c r="L238" s="111"/>
      <c r="M238" s="111"/>
      <c r="N238" s="111"/>
      <c r="O238" s="111"/>
      <c r="P238" s="111"/>
      <c r="Q238" s="111"/>
      <c r="R238" s="111"/>
      <c r="S238" s="111"/>
      <c r="T238" s="111"/>
      <c r="U238" s="111"/>
      <c r="V238" s="111"/>
      <c r="W238" s="111"/>
    </row>
    <row r="239" ht="14.25" customHeight="1">
      <c r="A239" s="73" t="str">
        <f t="shared" si="58"/>
        <v/>
      </c>
      <c r="B239" s="73"/>
      <c r="C239" s="380"/>
      <c r="D239" s="116" t="str">
        <f t="shared" ref="D239:J239" si="98">C103*$C239*D$124</f>
        <v>  -   </v>
      </c>
      <c r="E239" s="116" t="str">
        <f t="shared" si="98"/>
        <v>  -   </v>
      </c>
      <c r="F239" s="116" t="str">
        <f t="shared" si="98"/>
        <v>  -   </v>
      </c>
      <c r="G239" s="116" t="str">
        <f t="shared" si="98"/>
        <v>  -   </v>
      </c>
      <c r="H239" s="116" t="str">
        <f t="shared" si="98"/>
        <v>  -   </v>
      </c>
      <c r="I239" s="116" t="str">
        <f t="shared" si="98"/>
        <v>  -   </v>
      </c>
      <c r="J239" s="116" t="str">
        <f t="shared" si="98"/>
        <v>  -   </v>
      </c>
      <c r="K239" s="111"/>
      <c r="L239" s="111"/>
      <c r="M239" s="111"/>
      <c r="N239" s="111"/>
      <c r="O239" s="111"/>
      <c r="P239" s="111"/>
      <c r="Q239" s="111"/>
      <c r="R239" s="111"/>
      <c r="S239" s="111"/>
      <c r="T239" s="111"/>
      <c r="U239" s="111"/>
      <c r="V239" s="111"/>
      <c r="W239" s="111"/>
    </row>
    <row r="240" ht="14.25" customHeight="1">
      <c r="A240" s="73" t="str">
        <f t="shared" ref="A240:A244" si="100">A175</f>
        <v>Pomegranate</v>
      </c>
      <c r="B240" s="73"/>
      <c r="C240" s="380"/>
      <c r="D240" s="116" t="str">
        <f t="shared" ref="D240:J240" si="99">C107*$C240*D$124</f>
        <v>  -   </v>
      </c>
      <c r="E240" s="116" t="str">
        <f t="shared" si="99"/>
        <v>  -   </v>
      </c>
      <c r="F240" s="116" t="str">
        <f t="shared" si="99"/>
        <v>  -   </v>
      </c>
      <c r="G240" s="116" t="str">
        <f t="shared" si="99"/>
        <v>  -   </v>
      </c>
      <c r="H240" s="116" t="str">
        <f t="shared" si="99"/>
        <v>  -   </v>
      </c>
      <c r="I240" s="116" t="str">
        <f t="shared" si="99"/>
        <v>  -   </v>
      </c>
      <c r="J240" s="116" t="str">
        <f t="shared" si="99"/>
        <v>  -   </v>
      </c>
      <c r="K240" s="111"/>
      <c r="L240" s="111"/>
      <c r="M240" s="111"/>
      <c r="N240" s="111"/>
      <c r="O240" s="111"/>
      <c r="P240" s="111"/>
      <c r="Q240" s="111"/>
      <c r="R240" s="111"/>
      <c r="S240" s="111"/>
      <c r="T240" s="111"/>
      <c r="U240" s="111"/>
      <c r="V240" s="111"/>
      <c r="W240" s="111"/>
    </row>
    <row r="241" ht="14.25" customHeight="1">
      <c r="A241" s="73" t="str">
        <f t="shared" si="100"/>
        <v>Custard Apple</v>
      </c>
      <c r="B241" s="73"/>
      <c r="C241" s="380"/>
      <c r="D241" s="116" t="str">
        <f t="shared" ref="D241:J241" si="101">C108*$C241*D$124</f>
        <v>  -   </v>
      </c>
      <c r="E241" s="116" t="str">
        <f t="shared" si="101"/>
        <v>  -   </v>
      </c>
      <c r="F241" s="116" t="str">
        <f t="shared" si="101"/>
        <v>  -   </v>
      </c>
      <c r="G241" s="116" t="str">
        <f t="shared" si="101"/>
        <v>  -   </v>
      </c>
      <c r="H241" s="116" t="str">
        <f t="shared" si="101"/>
        <v>  -   </v>
      </c>
      <c r="I241" s="116" t="str">
        <f t="shared" si="101"/>
        <v>  -   </v>
      </c>
      <c r="J241" s="116" t="str">
        <f t="shared" si="101"/>
        <v>  -   </v>
      </c>
      <c r="K241" s="111"/>
      <c r="L241" s="111"/>
      <c r="M241" s="111"/>
      <c r="N241" s="111"/>
      <c r="O241" s="111"/>
      <c r="P241" s="111"/>
      <c r="Q241" s="111"/>
      <c r="R241" s="111"/>
      <c r="S241" s="111"/>
      <c r="T241" s="111"/>
      <c r="U241" s="111"/>
      <c r="V241" s="111"/>
      <c r="W241" s="111"/>
    </row>
    <row r="242" ht="14.25" customHeight="1">
      <c r="A242" s="73" t="str">
        <f t="shared" si="100"/>
        <v>Guava</v>
      </c>
      <c r="B242" s="73"/>
      <c r="C242" s="380"/>
      <c r="D242" s="116" t="str">
        <f t="shared" ref="D242:J242" si="102">C109*$C242*D$124</f>
        <v>  -   </v>
      </c>
      <c r="E242" s="116" t="str">
        <f t="shared" si="102"/>
        <v>  -   </v>
      </c>
      <c r="F242" s="116" t="str">
        <f t="shared" si="102"/>
        <v>  -   </v>
      </c>
      <c r="G242" s="116" t="str">
        <f t="shared" si="102"/>
        <v>  -   </v>
      </c>
      <c r="H242" s="116" t="str">
        <f t="shared" si="102"/>
        <v>  -   </v>
      </c>
      <c r="I242" s="116" t="str">
        <f t="shared" si="102"/>
        <v>  -   </v>
      </c>
      <c r="J242" s="116" t="str">
        <f t="shared" si="102"/>
        <v>  -   </v>
      </c>
      <c r="K242" s="111"/>
      <c r="L242" s="111"/>
      <c r="M242" s="111"/>
      <c r="N242" s="111"/>
      <c r="O242" s="111"/>
      <c r="P242" s="111"/>
      <c r="Q242" s="111"/>
      <c r="R242" s="111"/>
      <c r="S242" s="111"/>
      <c r="T242" s="111"/>
      <c r="U242" s="111"/>
      <c r="V242" s="111"/>
      <c r="W242" s="111"/>
    </row>
    <row r="243" ht="14.25" customHeight="1">
      <c r="A243" s="73" t="str">
        <f t="shared" si="100"/>
        <v>Citrus</v>
      </c>
      <c r="B243" s="73"/>
      <c r="C243" s="380"/>
      <c r="D243" s="116" t="str">
        <f t="shared" ref="D243:J243" si="103">C110*$C243*D$124</f>
        <v>  -   </v>
      </c>
      <c r="E243" s="116" t="str">
        <f t="shared" si="103"/>
        <v>  -   </v>
      </c>
      <c r="F243" s="116" t="str">
        <f t="shared" si="103"/>
        <v>  -   </v>
      </c>
      <c r="G243" s="116" t="str">
        <f t="shared" si="103"/>
        <v>  -   </v>
      </c>
      <c r="H243" s="116" t="str">
        <f t="shared" si="103"/>
        <v>  -   </v>
      </c>
      <c r="I243" s="116" t="str">
        <f t="shared" si="103"/>
        <v>  -   </v>
      </c>
      <c r="J243" s="116" t="str">
        <f t="shared" si="103"/>
        <v>  -   </v>
      </c>
      <c r="K243" s="111"/>
      <c r="L243" s="111"/>
      <c r="M243" s="111"/>
      <c r="N243" s="111"/>
      <c r="O243" s="111"/>
      <c r="P243" s="111"/>
      <c r="Q243" s="111"/>
      <c r="R243" s="111"/>
      <c r="S243" s="111"/>
      <c r="T243" s="111"/>
      <c r="U243" s="111"/>
      <c r="V243" s="111"/>
      <c r="W243" s="111"/>
    </row>
    <row r="244" ht="14.25" customHeight="1">
      <c r="A244" s="73" t="str">
        <f t="shared" si="100"/>
        <v/>
      </c>
      <c r="B244" s="73"/>
      <c r="C244" s="380"/>
      <c r="D244" s="116" t="str">
        <f t="shared" ref="D244:J244" si="104">C111*$C244*D$124</f>
        <v>  -   </v>
      </c>
      <c r="E244" s="116" t="str">
        <f t="shared" si="104"/>
        <v>  -   </v>
      </c>
      <c r="F244" s="116" t="str">
        <f t="shared" si="104"/>
        <v>  -   </v>
      </c>
      <c r="G244" s="116" t="str">
        <f t="shared" si="104"/>
        <v>  -   </v>
      </c>
      <c r="H244" s="116" t="str">
        <f t="shared" si="104"/>
        <v>  -   </v>
      </c>
      <c r="I244" s="116" t="str">
        <f t="shared" si="104"/>
        <v>  -   </v>
      </c>
      <c r="J244" s="116" t="str">
        <f t="shared" si="104"/>
        <v>  -   </v>
      </c>
      <c r="K244" s="111"/>
      <c r="L244" s="111"/>
      <c r="M244" s="111"/>
      <c r="N244" s="111"/>
      <c r="O244" s="111"/>
      <c r="P244" s="111"/>
      <c r="Q244" s="111"/>
      <c r="R244" s="111"/>
      <c r="S244" s="111"/>
      <c r="T244" s="111"/>
      <c r="U244" s="111"/>
      <c r="V244" s="111"/>
      <c r="W244" s="111"/>
    </row>
    <row r="245" ht="14.25" customHeight="1">
      <c r="A245" s="73" t="str">
        <f t="shared" ref="A245:A248" si="105">A181</f>
        <v>Fertilizer(Rate/KG)</v>
      </c>
      <c r="B245" s="73"/>
      <c r="C245" s="116"/>
      <c r="D245" s="116"/>
      <c r="E245" s="116"/>
      <c r="F245" s="116"/>
      <c r="G245" s="116"/>
      <c r="H245" s="116"/>
      <c r="I245" s="116"/>
      <c r="J245" s="116"/>
      <c r="K245" s="111"/>
      <c r="L245" s="111"/>
      <c r="M245" s="111"/>
      <c r="N245" s="111"/>
      <c r="O245" s="111"/>
      <c r="P245" s="111"/>
      <c r="Q245" s="111"/>
      <c r="R245" s="111"/>
      <c r="S245" s="111"/>
      <c r="T245" s="111"/>
      <c r="U245" s="111"/>
      <c r="V245" s="111"/>
      <c r="W245" s="111"/>
    </row>
    <row r="246" ht="14.25" customHeight="1">
      <c r="A246" s="73" t="str">
        <f t="shared" si="105"/>
        <v>SSP</v>
      </c>
      <c r="B246" s="73"/>
      <c r="C246" s="380">
        <v>350.0</v>
      </c>
      <c r="D246" s="116" t="str">
        <f t="shared" ref="D246:J246" si="106">(C114/50)*$C$246*D124</f>
        <v>  -   </v>
      </c>
      <c r="E246" s="116" t="str">
        <f t="shared" si="106"/>
        <v>  -   </v>
      </c>
      <c r="F246" s="116" t="str">
        <f t="shared" si="106"/>
        <v>  -   </v>
      </c>
      <c r="G246" s="116" t="str">
        <f t="shared" si="106"/>
        <v>  -   </v>
      </c>
      <c r="H246" s="116" t="str">
        <f t="shared" si="106"/>
        <v>  -   </v>
      </c>
      <c r="I246" s="116" t="str">
        <f t="shared" si="106"/>
        <v>  -   </v>
      </c>
      <c r="J246" s="116" t="str">
        <f t="shared" si="106"/>
        <v>  -   </v>
      </c>
      <c r="K246" s="111"/>
      <c r="L246" s="111"/>
      <c r="M246" s="111"/>
      <c r="N246" s="111"/>
      <c r="O246" s="111"/>
      <c r="P246" s="111"/>
      <c r="Q246" s="111"/>
      <c r="R246" s="111"/>
      <c r="S246" s="111"/>
      <c r="T246" s="111"/>
      <c r="U246" s="111"/>
      <c r="V246" s="111"/>
      <c r="W246" s="111"/>
    </row>
    <row r="247" ht="14.25" customHeight="1">
      <c r="A247" s="73" t="str">
        <f t="shared" si="105"/>
        <v>Urea</v>
      </c>
      <c r="B247" s="73"/>
      <c r="C247" s="380">
        <v>250.0</v>
      </c>
      <c r="D247" s="116" t="str">
        <f t="shared" ref="D247:J247" si="107">(C115/50)*$C$247*D124</f>
        <v>  -   </v>
      </c>
      <c r="E247" s="116" t="str">
        <f t="shared" si="107"/>
        <v>  -   </v>
      </c>
      <c r="F247" s="116" t="str">
        <f t="shared" si="107"/>
        <v>  -   </v>
      </c>
      <c r="G247" s="116" t="str">
        <f t="shared" si="107"/>
        <v>  -   </v>
      </c>
      <c r="H247" s="116" t="str">
        <f t="shared" si="107"/>
        <v>  -   </v>
      </c>
      <c r="I247" s="116" t="str">
        <f t="shared" si="107"/>
        <v>  -   </v>
      </c>
      <c r="J247" s="116" t="str">
        <f t="shared" si="107"/>
        <v>  -   </v>
      </c>
      <c r="K247" s="111"/>
      <c r="L247" s="111"/>
      <c r="M247" s="111"/>
      <c r="N247" s="111"/>
      <c r="O247" s="111"/>
      <c r="P247" s="111"/>
      <c r="Q247" s="111"/>
      <c r="R247" s="111"/>
      <c r="S247" s="111"/>
      <c r="T247" s="111"/>
      <c r="U247" s="111"/>
      <c r="V247" s="111"/>
      <c r="W247" s="111"/>
    </row>
    <row r="248" ht="14.25" customHeight="1">
      <c r="A248" s="73" t="str">
        <f t="shared" si="105"/>
        <v>DAP</v>
      </c>
      <c r="B248" s="73"/>
      <c r="C248" s="380">
        <v>1250.0</v>
      </c>
      <c r="D248" s="116" t="str">
        <f t="shared" ref="D248:J248" si="108">(C116/50)*$C$248*D124</f>
        <v>  -   </v>
      </c>
      <c r="E248" s="116" t="str">
        <f t="shared" si="108"/>
        <v>  -   </v>
      </c>
      <c r="F248" s="116" t="str">
        <f t="shared" si="108"/>
        <v>  -   </v>
      </c>
      <c r="G248" s="116" t="str">
        <f t="shared" si="108"/>
        <v>  -   </v>
      </c>
      <c r="H248" s="116" t="str">
        <f t="shared" si="108"/>
        <v>  -   </v>
      </c>
      <c r="I248" s="116" t="str">
        <f t="shared" si="108"/>
        <v>  -   </v>
      </c>
      <c r="J248" s="116" t="str">
        <f t="shared" si="108"/>
        <v>  -   </v>
      </c>
      <c r="K248" s="111"/>
      <c r="L248" s="111"/>
      <c r="M248" s="111"/>
      <c r="N248" s="111"/>
      <c r="O248" s="111"/>
      <c r="P248" s="111"/>
      <c r="Q248" s="111"/>
      <c r="R248" s="111"/>
      <c r="S248" s="111"/>
      <c r="T248" s="111"/>
      <c r="U248" s="111"/>
      <c r="V248" s="111"/>
      <c r="W248" s="111"/>
    </row>
    <row r="249" ht="14.25" customHeight="1">
      <c r="A249" s="73"/>
      <c r="B249" s="73"/>
      <c r="C249" s="116"/>
      <c r="D249" s="116"/>
      <c r="E249" s="116"/>
      <c r="F249" s="116"/>
      <c r="G249" s="116"/>
      <c r="H249" s="116"/>
      <c r="I249" s="116"/>
      <c r="J249" s="116"/>
      <c r="K249" s="111"/>
      <c r="L249" s="111"/>
      <c r="M249" s="111"/>
      <c r="N249" s="111"/>
      <c r="O249" s="111"/>
      <c r="P249" s="111"/>
      <c r="Q249" s="111"/>
      <c r="R249" s="111"/>
      <c r="S249" s="111"/>
      <c r="T249" s="111"/>
      <c r="U249" s="111"/>
      <c r="V249" s="111"/>
      <c r="W249" s="111"/>
    </row>
    <row r="250" ht="14.25" customHeight="1">
      <c r="A250" s="73" t="str">
        <f t="shared" ref="A250:A252" si="109">A186</f>
        <v>Pesticide</v>
      </c>
      <c r="B250" s="73"/>
      <c r="C250" s="116"/>
      <c r="D250" s="116"/>
      <c r="E250" s="116"/>
      <c r="F250" s="116"/>
      <c r="G250" s="116"/>
      <c r="H250" s="116"/>
      <c r="I250" s="116"/>
      <c r="J250" s="116"/>
      <c r="K250" s="111"/>
      <c r="L250" s="111"/>
      <c r="M250" s="111"/>
      <c r="N250" s="111"/>
      <c r="O250" s="111"/>
      <c r="P250" s="111"/>
      <c r="Q250" s="111"/>
      <c r="R250" s="111"/>
      <c r="S250" s="111"/>
      <c r="T250" s="111"/>
      <c r="U250" s="111"/>
      <c r="V250" s="111"/>
      <c r="W250" s="111"/>
    </row>
    <row r="251" ht="14.25" customHeight="1">
      <c r="A251" s="73" t="str">
        <f t="shared" si="109"/>
        <v>Dupont Coragen</v>
      </c>
      <c r="B251" s="73"/>
      <c r="C251" s="380"/>
      <c r="D251" s="116" t="str">
        <f t="shared" ref="D251:J251" si="110">C118*$C$251*D124</f>
        <v>  -   </v>
      </c>
      <c r="E251" s="116" t="str">
        <f t="shared" si="110"/>
        <v>  -   </v>
      </c>
      <c r="F251" s="116" t="str">
        <f t="shared" si="110"/>
        <v>  -   </v>
      </c>
      <c r="G251" s="116" t="str">
        <f t="shared" si="110"/>
        <v>  -   </v>
      </c>
      <c r="H251" s="116" t="str">
        <f t="shared" si="110"/>
        <v>  -   </v>
      </c>
      <c r="I251" s="116" t="str">
        <f t="shared" si="110"/>
        <v>  -   </v>
      </c>
      <c r="J251" s="116" t="str">
        <f t="shared" si="110"/>
        <v>  -   </v>
      </c>
      <c r="K251" s="111"/>
      <c r="L251" s="111"/>
      <c r="M251" s="111"/>
      <c r="N251" s="111"/>
      <c r="O251" s="111"/>
      <c r="P251" s="111"/>
      <c r="Q251" s="111"/>
      <c r="R251" s="111"/>
      <c r="S251" s="111"/>
      <c r="T251" s="111"/>
      <c r="U251" s="111"/>
      <c r="V251" s="111"/>
      <c r="W251" s="111"/>
    </row>
    <row r="252" ht="14.25" customHeight="1">
      <c r="A252" s="73" t="str">
        <f t="shared" si="109"/>
        <v>Confidor Boyer</v>
      </c>
      <c r="B252" s="73"/>
      <c r="C252" s="380"/>
      <c r="D252" s="116" t="str">
        <f t="shared" ref="D252:J252" si="111">C119*$C$252*D124</f>
        <v>  -   </v>
      </c>
      <c r="E252" s="116" t="str">
        <f t="shared" si="111"/>
        <v>  -   </v>
      </c>
      <c r="F252" s="116" t="str">
        <f t="shared" si="111"/>
        <v>  -   </v>
      </c>
      <c r="G252" s="116" t="str">
        <f t="shared" si="111"/>
        <v>  -   </v>
      </c>
      <c r="H252" s="116" t="str">
        <f t="shared" si="111"/>
        <v>  -   </v>
      </c>
      <c r="I252" s="116" t="str">
        <f t="shared" si="111"/>
        <v>  -   </v>
      </c>
      <c r="J252" s="116" t="str">
        <f t="shared" si="111"/>
        <v>  -   </v>
      </c>
      <c r="K252" s="111"/>
      <c r="L252" s="111"/>
      <c r="M252" s="111"/>
      <c r="N252" s="111"/>
      <c r="O252" s="111"/>
      <c r="P252" s="111"/>
      <c r="Q252" s="111"/>
      <c r="R252" s="111"/>
      <c r="S252" s="111"/>
      <c r="T252" s="111"/>
      <c r="U252" s="111"/>
      <c r="V252" s="111"/>
      <c r="W252" s="111"/>
    </row>
    <row r="253" ht="14.25" customHeight="1">
      <c r="A253" s="73"/>
      <c r="B253" s="73"/>
      <c r="C253" s="116"/>
      <c r="D253" s="116"/>
      <c r="E253" s="116"/>
      <c r="F253" s="116"/>
      <c r="G253" s="116"/>
      <c r="H253" s="116"/>
      <c r="I253" s="116"/>
      <c r="J253" s="116"/>
      <c r="K253" s="111"/>
      <c r="L253" s="111"/>
      <c r="M253" s="111"/>
      <c r="N253" s="111"/>
      <c r="O253" s="111"/>
      <c r="P253" s="111"/>
      <c r="Q253" s="111"/>
      <c r="R253" s="111"/>
      <c r="S253" s="111"/>
      <c r="T253" s="111"/>
      <c r="U253" s="111"/>
      <c r="V253" s="111"/>
      <c r="W253" s="111"/>
    </row>
    <row r="254" ht="14.25" customHeight="1">
      <c r="A254" s="73" t="s">
        <v>750</v>
      </c>
      <c r="B254" s="73"/>
      <c r="C254" s="380"/>
      <c r="D254" s="116" t="str">
        <f t="shared" ref="D254:J254" si="112">(SUM(C63:C119)/50)*$C$254*D124</f>
        <v>  -   </v>
      </c>
      <c r="E254" s="116" t="str">
        <f t="shared" si="112"/>
        <v>  -   </v>
      </c>
      <c r="F254" s="116" t="str">
        <f t="shared" si="112"/>
        <v>  -   </v>
      </c>
      <c r="G254" s="116" t="str">
        <f t="shared" si="112"/>
        <v>  -   </v>
      </c>
      <c r="H254" s="116" t="str">
        <f t="shared" si="112"/>
        <v>  -   </v>
      </c>
      <c r="I254" s="116" t="str">
        <f t="shared" si="112"/>
        <v>  -   </v>
      </c>
      <c r="J254" s="116" t="str">
        <f t="shared" si="112"/>
        <v>  -   </v>
      </c>
      <c r="K254" s="111"/>
      <c r="L254" s="111"/>
      <c r="M254" s="111"/>
      <c r="N254" s="111"/>
      <c r="O254" s="111"/>
      <c r="P254" s="111"/>
      <c r="Q254" s="111"/>
      <c r="R254" s="111"/>
      <c r="S254" s="111"/>
      <c r="T254" s="111"/>
      <c r="U254" s="111"/>
      <c r="V254" s="111"/>
      <c r="W254" s="111"/>
    </row>
    <row r="255" ht="14.25" customHeight="1">
      <c r="A255" s="73" t="s">
        <v>751</v>
      </c>
      <c r="B255" s="73"/>
      <c r="C255" s="380"/>
      <c r="D255" s="116" t="str">
        <f t="shared" ref="D255:J255" si="113">(SUM(C63:C119)/50)*$C$255*D124</f>
        <v>  -   </v>
      </c>
      <c r="E255" s="116" t="str">
        <f t="shared" si="113"/>
        <v>  -   </v>
      </c>
      <c r="F255" s="116" t="str">
        <f t="shared" si="113"/>
        <v>  -   </v>
      </c>
      <c r="G255" s="116" t="str">
        <f t="shared" si="113"/>
        <v>  -   </v>
      </c>
      <c r="H255" s="116" t="str">
        <f t="shared" si="113"/>
        <v>  -   </v>
      </c>
      <c r="I255" s="116" t="str">
        <f t="shared" si="113"/>
        <v>  -   </v>
      </c>
      <c r="J255" s="116" t="str">
        <f t="shared" si="113"/>
        <v>  -   </v>
      </c>
      <c r="K255" s="111"/>
      <c r="L255" s="111"/>
      <c r="M255" s="111"/>
      <c r="N255" s="111"/>
      <c r="O255" s="111"/>
      <c r="P255" s="111"/>
      <c r="Q255" s="111"/>
      <c r="R255" s="111"/>
      <c r="S255" s="111"/>
      <c r="T255" s="111"/>
      <c r="U255" s="111"/>
      <c r="V255" s="111"/>
      <c r="W255" s="111"/>
    </row>
    <row r="256" ht="14.25" customHeight="1">
      <c r="A256" s="73"/>
      <c r="B256" s="73"/>
      <c r="C256" s="380"/>
      <c r="D256" s="392"/>
      <c r="E256" s="116"/>
      <c r="F256" s="116"/>
      <c r="G256" s="116"/>
      <c r="H256" s="116"/>
      <c r="I256" s="116"/>
      <c r="J256" s="116"/>
      <c r="K256" s="111"/>
      <c r="L256" s="111"/>
      <c r="M256" s="111"/>
      <c r="N256" s="111"/>
      <c r="O256" s="111"/>
      <c r="P256" s="111"/>
      <c r="Q256" s="111"/>
      <c r="R256" s="111"/>
      <c r="S256" s="111"/>
      <c r="T256" s="111"/>
      <c r="U256" s="111"/>
      <c r="V256" s="111"/>
      <c r="W256" s="111"/>
    </row>
    <row r="257" ht="14.25" customHeight="1">
      <c r="A257" s="73"/>
      <c r="B257" s="73"/>
      <c r="C257" s="380"/>
      <c r="D257" s="392"/>
      <c r="E257" s="116"/>
      <c r="F257" s="116"/>
      <c r="G257" s="116"/>
      <c r="H257" s="116"/>
      <c r="I257" s="116"/>
      <c r="J257" s="116"/>
      <c r="K257" s="111"/>
      <c r="L257" s="111"/>
      <c r="M257" s="111"/>
      <c r="N257" s="111"/>
      <c r="O257" s="111"/>
      <c r="P257" s="111"/>
      <c r="Q257" s="111"/>
      <c r="R257" s="111"/>
      <c r="S257" s="111"/>
      <c r="T257" s="111"/>
      <c r="U257" s="111"/>
      <c r="V257" s="111"/>
      <c r="W257" s="111"/>
    </row>
    <row r="258" ht="14.25" customHeight="1">
      <c r="A258" s="73"/>
      <c r="B258" s="73"/>
      <c r="C258" s="380"/>
      <c r="D258" s="392"/>
      <c r="E258" s="116"/>
      <c r="F258" s="116"/>
      <c r="G258" s="116"/>
      <c r="H258" s="116"/>
      <c r="I258" s="116"/>
      <c r="J258" s="116"/>
      <c r="K258" s="111"/>
      <c r="L258" s="111"/>
      <c r="M258" s="111"/>
      <c r="N258" s="111"/>
      <c r="O258" s="111"/>
      <c r="P258" s="111"/>
      <c r="Q258" s="111"/>
      <c r="R258" s="111"/>
      <c r="S258" s="111"/>
      <c r="T258" s="111"/>
      <c r="U258" s="111"/>
      <c r="V258" s="111"/>
      <c r="W258" s="111"/>
    </row>
    <row r="259" ht="14.25" customHeight="1">
      <c r="A259" s="73"/>
      <c r="B259" s="73"/>
      <c r="C259" s="380"/>
      <c r="D259" s="392"/>
      <c r="E259" s="116"/>
      <c r="F259" s="116"/>
      <c r="G259" s="116"/>
      <c r="H259" s="116"/>
      <c r="I259" s="116"/>
      <c r="J259" s="116"/>
      <c r="K259" s="111"/>
      <c r="L259" s="111"/>
      <c r="M259" s="111"/>
      <c r="N259" s="111"/>
      <c r="O259" s="111"/>
      <c r="P259" s="111"/>
      <c r="Q259" s="111"/>
      <c r="R259" s="111"/>
      <c r="S259" s="111"/>
      <c r="T259" s="111"/>
      <c r="U259" s="111"/>
      <c r="V259" s="111"/>
      <c r="W259" s="111"/>
    </row>
    <row r="260" ht="14.25" customHeight="1">
      <c r="A260" s="73" t="s">
        <v>651</v>
      </c>
      <c r="B260" s="73"/>
      <c r="C260" s="116"/>
      <c r="D260" s="392"/>
      <c r="E260" s="116" t="str">
        <f>'5.Closing Stock &amp; W Capital'!F6</f>
        <v>  -   </v>
      </c>
      <c r="F260" s="116" t="str">
        <f>'5.Closing Stock &amp; W Capital'!G6</f>
        <v>  -   </v>
      </c>
      <c r="G260" s="116" t="str">
        <f>'5.Closing Stock &amp; W Capital'!H6</f>
        <v>  -   </v>
      </c>
      <c r="H260" s="116" t="str">
        <f>'5.Closing Stock &amp; W Capital'!I6</f>
        <v>  -   </v>
      </c>
      <c r="I260" s="116" t="str">
        <f>'5.Closing Stock &amp; W Capital'!J6</f>
        <v>  -   </v>
      </c>
      <c r="J260" s="116" t="str">
        <f>'5.Closing Stock &amp; W Capital'!K6</f>
        <v>  -   </v>
      </c>
      <c r="K260" s="111"/>
      <c r="L260" s="111"/>
      <c r="M260" s="111"/>
      <c r="N260" s="111"/>
      <c r="O260" s="111"/>
      <c r="P260" s="111"/>
      <c r="Q260" s="111"/>
      <c r="R260" s="111"/>
      <c r="S260" s="111"/>
      <c r="T260" s="111"/>
      <c r="U260" s="111"/>
      <c r="V260" s="111"/>
      <c r="W260" s="111"/>
    </row>
    <row r="261" ht="14.25" customHeight="1">
      <c r="A261" s="73" t="s">
        <v>652</v>
      </c>
      <c r="B261" s="73"/>
      <c r="C261" s="73"/>
      <c r="D261" s="392" t="str">
        <f>'5.Closing Stock &amp; W Capital'!E15</f>
        <v>  -   </v>
      </c>
      <c r="E261" s="116" t="str">
        <f>'5.Closing Stock &amp; W Capital'!F15</f>
        <v>  -   </v>
      </c>
      <c r="F261" s="116" t="str">
        <f>'5.Closing Stock &amp; W Capital'!G15</f>
        <v>  -   </v>
      </c>
      <c r="G261" s="116" t="str">
        <f>'5.Closing Stock &amp; W Capital'!H15</f>
        <v>  -   </v>
      </c>
      <c r="H261" s="116" t="str">
        <f>'5.Closing Stock &amp; W Capital'!I15</f>
        <v>  -   </v>
      </c>
      <c r="I261" s="116" t="str">
        <f>'5.Closing Stock &amp; W Capital'!J15</f>
        <v>  -   </v>
      </c>
      <c r="J261" s="116" t="str">
        <f>'5.Closing Stock &amp; W Capital'!K15</f>
        <v>  -   </v>
      </c>
      <c r="K261" s="111"/>
      <c r="L261" s="111"/>
      <c r="M261" s="111"/>
      <c r="N261" s="111"/>
      <c r="O261" s="111"/>
      <c r="P261" s="111"/>
      <c r="Q261" s="111"/>
      <c r="R261" s="111"/>
      <c r="S261" s="111"/>
      <c r="T261" s="111"/>
      <c r="U261" s="111"/>
      <c r="V261" s="111"/>
      <c r="W261" s="111"/>
    </row>
    <row r="262" ht="14.25" customHeight="1">
      <c r="A262" s="73"/>
      <c r="B262" s="73"/>
      <c r="C262" s="73"/>
      <c r="D262" s="111"/>
      <c r="E262" s="111"/>
      <c r="F262" s="111"/>
      <c r="G262" s="111"/>
      <c r="H262" s="111"/>
      <c r="I262" s="111"/>
      <c r="J262" s="111"/>
      <c r="K262" s="111"/>
      <c r="L262" s="111"/>
      <c r="M262" s="111"/>
      <c r="N262" s="111"/>
      <c r="O262" s="111"/>
      <c r="P262" s="111"/>
      <c r="Q262" s="111"/>
      <c r="R262" s="111"/>
      <c r="S262" s="111"/>
      <c r="T262" s="111"/>
      <c r="U262" s="111"/>
      <c r="V262" s="111"/>
      <c r="W262" s="111"/>
    </row>
    <row r="263" ht="14.25" customHeight="1">
      <c r="A263" s="117" t="s">
        <v>413</v>
      </c>
      <c r="B263" s="117"/>
      <c r="C263" s="118"/>
      <c r="D263" s="118" t="str">
        <f t="shared" ref="D263:J263" si="114">SUM(D198:D259)+D260-D261</f>
        <v>  -   </v>
      </c>
      <c r="E263" s="118" t="str">
        <f t="shared" si="114"/>
        <v>  -   </v>
      </c>
      <c r="F263" s="118" t="str">
        <f t="shared" si="114"/>
        <v>  -   </v>
      </c>
      <c r="G263" s="118" t="str">
        <f t="shared" si="114"/>
        <v>  -   </v>
      </c>
      <c r="H263" s="118" t="str">
        <f t="shared" si="114"/>
        <v>  -   </v>
      </c>
      <c r="I263" s="118" t="str">
        <f t="shared" si="114"/>
        <v>  -   </v>
      </c>
      <c r="J263" s="118" t="str">
        <f t="shared" si="114"/>
        <v>  -   </v>
      </c>
      <c r="K263" s="111"/>
      <c r="L263" s="111"/>
      <c r="M263" s="111"/>
      <c r="N263" s="111"/>
      <c r="O263" s="111"/>
      <c r="P263" s="111"/>
      <c r="Q263" s="111"/>
      <c r="R263" s="111"/>
      <c r="S263" s="111"/>
      <c r="T263" s="111"/>
      <c r="U263" s="111"/>
      <c r="V263" s="111"/>
      <c r="W263" s="111"/>
    </row>
    <row r="264" ht="14.25" customHeight="1">
      <c r="A264" s="73"/>
      <c r="B264" s="73"/>
      <c r="C264" s="116"/>
      <c r="D264" s="116"/>
      <c r="E264" s="116"/>
      <c r="F264" s="116"/>
      <c r="G264" s="116"/>
      <c r="H264" s="116"/>
      <c r="I264" s="116"/>
      <c r="J264" s="116"/>
      <c r="K264" s="111"/>
      <c r="L264" s="111"/>
      <c r="M264" s="111"/>
      <c r="N264" s="111"/>
      <c r="O264" s="111"/>
      <c r="P264" s="111"/>
      <c r="Q264" s="111"/>
      <c r="R264" s="111"/>
      <c r="S264" s="111"/>
      <c r="T264" s="111"/>
      <c r="U264" s="111"/>
      <c r="V264" s="111"/>
      <c r="W264" s="111"/>
    </row>
    <row r="265" ht="14.25" customHeight="1">
      <c r="A265" s="117" t="s">
        <v>414</v>
      </c>
      <c r="B265" s="117"/>
      <c r="C265" s="116"/>
      <c r="D265" s="116"/>
      <c r="E265" s="116"/>
      <c r="F265" s="116"/>
      <c r="G265" s="116"/>
      <c r="H265" s="116"/>
      <c r="I265" s="116"/>
      <c r="J265" s="116"/>
      <c r="K265" s="111"/>
      <c r="L265" s="111"/>
      <c r="M265" s="111"/>
      <c r="N265" s="111"/>
      <c r="O265" s="111"/>
      <c r="P265" s="111"/>
      <c r="Q265" s="111"/>
      <c r="R265" s="111"/>
      <c r="S265" s="111"/>
      <c r="T265" s="111"/>
      <c r="U265" s="111"/>
      <c r="V265" s="111"/>
      <c r="W265" s="111"/>
    </row>
    <row r="266" ht="14.25" customHeight="1">
      <c r="A266" s="73" t="s">
        <v>752</v>
      </c>
      <c r="B266" s="73"/>
      <c r="C266" s="380"/>
      <c r="D266" s="116" t="str">
        <f t="shared" ref="D266:J266" si="115">$B$266*$C$266*D124*12</f>
        <v>  -   </v>
      </c>
      <c r="E266" s="116" t="str">
        <f t="shared" si="115"/>
        <v>  -   </v>
      </c>
      <c r="F266" s="116" t="str">
        <f t="shared" si="115"/>
        <v>  -   </v>
      </c>
      <c r="G266" s="116" t="str">
        <f t="shared" si="115"/>
        <v>  -   </v>
      </c>
      <c r="H266" s="116" t="str">
        <f t="shared" si="115"/>
        <v>  -   </v>
      </c>
      <c r="I266" s="116" t="str">
        <f t="shared" si="115"/>
        <v>  -   </v>
      </c>
      <c r="J266" s="116" t="str">
        <f t="shared" si="115"/>
        <v>  -   </v>
      </c>
      <c r="K266" s="111"/>
      <c r="L266" s="111"/>
      <c r="M266" s="111"/>
      <c r="N266" s="111"/>
      <c r="O266" s="111"/>
      <c r="P266" s="111"/>
      <c r="Q266" s="111"/>
      <c r="R266" s="111"/>
      <c r="S266" s="111"/>
      <c r="T266" s="111"/>
      <c r="U266" s="111"/>
      <c r="V266" s="111"/>
      <c r="W266" s="111"/>
    </row>
    <row r="267" ht="14.25" customHeight="1">
      <c r="A267" s="73" t="s">
        <v>753</v>
      </c>
      <c r="B267" s="75"/>
      <c r="C267" s="380"/>
      <c r="D267" s="116" t="str">
        <f t="shared" ref="D267:J267" si="116">$B$267*$C$267*12*D124</f>
        <v>  -   </v>
      </c>
      <c r="E267" s="116" t="str">
        <f t="shared" si="116"/>
        <v>  -   </v>
      </c>
      <c r="F267" s="116" t="str">
        <f t="shared" si="116"/>
        <v>  -   </v>
      </c>
      <c r="G267" s="116" t="str">
        <f t="shared" si="116"/>
        <v>  -   </v>
      </c>
      <c r="H267" s="116" t="str">
        <f t="shared" si="116"/>
        <v>  -   </v>
      </c>
      <c r="I267" s="116" t="str">
        <f t="shared" si="116"/>
        <v>  -   </v>
      </c>
      <c r="J267" s="116" t="str">
        <f t="shared" si="116"/>
        <v>  -   </v>
      </c>
      <c r="K267" s="111"/>
      <c r="L267" s="111"/>
      <c r="M267" s="111"/>
      <c r="N267" s="111"/>
      <c r="O267" s="111"/>
      <c r="P267" s="111"/>
      <c r="Q267" s="111"/>
      <c r="R267" s="111"/>
      <c r="S267" s="111"/>
      <c r="T267" s="111"/>
      <c r="U267" s="111"/>
      <c r="V267" s="111"/>
      <c r="W267" s="111"/>
    </row>
    <row r="268" ht="14.25" customHeight="1">
      <c r="A268" s="73" t="s">
        <v>754</v>
      </c>
      <c r="B268" s="75"/>
      <c r="C268" s="380"/>
      <c r="D268" s="116" t="str">
        <f t="shared" ref="D268:J268" si="117">$B$268*$C$268*12*D124</f>
        <v>  -   </v>
      </c>
      <c r="E268" s="116" t="str">
        <f t="shared" si="117"/>
        <v>  -   </v>
      </c>
      <c r="F268" s="116" t="str">
        <f t="shared" si="117"/>
        <v>  -   </v>
      </c>
      <c r="G268" s="116" t="str">
        <f t="shared" si="117"/>
        <v>  -   </v>
      </c>
      <c r="H268" s="116" t="str">
        <f t="shared" si="117"/>
        <v>  -   </v>
      </c>
      <c r="I268" s="116" t="str">
        <f t="shared" si="117"/>
        <v>  -   </v>
      </c>
      <c r="J268" s="116" t="str">
        <f t="shared" si="117"/>
        <v>  -   </v>
      </c>
      <c r="K268" s="111"/>
      <c r="L268" s="111"/>
      <c r="M268" s="111"/>
      <c r="N268" s="111"/>
      <c r="O268" s="111"/>
      <c r="P268" s="111"/>
      <c r="Q268" s="111"/>
      <c r="R268" s="111"/>
      <c r="S268" s="111"/>
      <c r="T268" s="111"/>
      <c r="U268" s="111"/>
      <c r="V268" s="111"/>
      <c r="W268" s="111"/>
    </row>
    <row r="269" ht="14.25" customHeight="1">
      <c r="A269" s="73" t="s">
        <v>755</v>
      </c>
      <c r="B269" s="73"/>
      <c r="C269" s="380"/>
      <c r="D269" s="116" t="str">
        <f t="shared" ref="D269:J269" si="118">$B$269*$C$269*D124</f>
        <v>  -   </v>
      </c>
      <c r="E269" s="116" t="str">
        <f t="shared" si="118"/>
        <v>  -   </v>
      </c>
      <c r="F269" s="116" t="str">
        <f t="shared" si="118"/>
        <v>  -   </v>
      </c>
      <c r="G269" s="116" t="str">
        <f t="shared" si="118"/>
        <v>  -   </v>
      </c>
      <c r="H269" s="116" t="str">
        <f t="shared" si="118"/>
        <v>  -   </v>
      </c>
      <c r="I269" s="116" t="str">
        <f t="shared" si="118"/>
        <v>  -   </v>
      </c>
      <c r="J269" s="116" t="str">
        <f t="shared" si="118"/>
        <v>  -   </v>
      </c>
      <c r="K269" s="111"/>
      <c r="L269" s="111"/>
      <c r="M269" s="111"/>
      <c r="N269" s="111"/>
      <c r="O269" s="111"/>
      <c r="P269" s="111"/>
      <c r="Q269" s="111"/>
      <c r="R269" s="111"/>
      <c r="S269" s="111"/>
      <c r="T269" s="111"/>
      <c r="U269" s="111"/>
      <c r="V269" s="111"/>
      <c r="W269" s="111"/>
    </row>
    <row r="270" ht="14.25" customHeight="1">
      <c r="A270" s="73"/>
      <c r="B270" s="73"/>
      <c r="C270" s="380"/>
      <c r="D270" s="116"/>
      <c r="E270" s="116"/>
      <c r="F270" s="116"/>
      <c r="G270" s="116"/>
      <c r="H270" s="116"/>
      <c r="I270" s="116"/>
      <c r="J270" s="116"/>
      <c r="K270" s="111"/>
      <c r="L270" s="111"/>
      <c r="M270" s="111"/>
      <c r="N270" s="111"/>
      <c r="O270" s="111"/>
      <c r="P270" s="111"/>
      <c r="Q270" s="111"/>
      <c r="R270" s="111"/>
      <c r="S270" s="111"/>
      <c r="T270" s="111"/>
      <c r="U270" s="111"/>
      <c r="V270" s="111"/>
      <c r="W270" s="111"/>
    </row>
    <row r="271" ht="14.25" customHeight="1">
      <c r="A271" s="73"/>
      <c r="B271" s="73"/>
      <c r="C271" s="380"/>
      <c r="D271" s="116"/>
      <c r="E271" s="116"/>
      <c r="F271" s="116"/>
      <c r="G271" s="116"/>
      <c r="H271" s="116"/>
      <c r="I271" s="116"/>
      <c r="J271" s="116"/>
      <c r="K271" s="111"/>
      <c r="L271" s="111"/>
      <c r="M271" s="111"/>
      <c r="N271" s="111"/>
      <c r="O271" s="111"/>
      <c r="P271" s="111"/>
      <c r="Q271" s="111"/>
      <c r="R271" s="111"/>
      <c r="S271" s="111"/>
      <c r="T271" s="111"/>
      <c r="U271" s="111"/>
      <c r="V271" s="111"/>
      <c r="W271" s="111"/>
    </row>
    <row r="272" ht="14.25" customHeight="1">
      <c r="A272" s="73"/>
      <c r="B272" s="73"/>
      <c r="C272" s="380"/>
      <c r="D272" s="116"/>
      <c r="E272" s="116"/>
      <c r="F272" s="116"/>
      <c r="G272" s="116"/>
      <c r="H272" s="116"/>
      <c r="I272" s="116"/>
      <c r="J272" s="116"/>
      <c r="K272" s="111"/>
      <c r="L272" s="111"/>
      <c r="M272" s="111"/>
      <c r="N272" s="111"/>
      <c r="O272" s="111"/>
      <c r="P272" s="111"/>
      <c r="Q272" s="111"/>
      <c r="R272" s="111"/>
      <c r="S272" s="111"/>
      <c r="T272" s="111"/>
      <c r="U272" s="111"/>
      <c r="V272" s="111"/>
      <c r="W272" s="111"/>
    </row>
    <row r="273" ht="14.25" customHeight="1">
      <c r="A273" s="73"/>
      <c r="B273" s="73"/>
      <c r="C273" s="380"/>
      <c r="D273" s="116"/>
      <c r="E273" s="116"/>
      <c r="F273" s="116"/>
      <c r="G273" s="116"/>
      <c r="H273" s="116"/>
      <c r="I273" s="116"/>
      <c r="J273" s="116"/>
      <c r="K273" s="111"/>
      <c r="L273" s="111"/>
      <c r="M273" s="111"/>
      <c r="N273" s="111"/>
      <c r="O273" s="111"/>
      <c r="P273" s="111"/>
      <c r="Q273" s="111"/>
      <c r="R273" s="111"/>
      <c r="S273" s="111"/>
      <c r="T273" s="111"/>
      <c r="U273" s="111"/>
      <c r="V273" s="111"/>
      <c r="W273" s="111"/>
    </row>
    <row r="274" ht="14.25" customHeight="1">
      <c r="A274" s="117" t="s">
        <v>416</v>
      </c>
      <c r="B274" s="117"/>
      <c r="C274" s="118"/>
      <c r="D274" s="118" t="str">
        <f t="shared" ref="D274:J274" si="119">SUM(D266:D273)</f>
        <v>  -   </v>
      </c>
      <c r="E274" s="118" t="str">
        <f t="shared" si="119"/>
        <v>  -   </v>
      </c>
      <c r="F274" s="118" t="str">
        <f t="shared" si="119"/>
        <v>  -   </v>
      </c>
      <c r="G274" s="118" t="str">
        <f t="shared" si="119"/>
        <v>  -   </v>
      </c>
      <c r="H274" s="118" t="str">
        <f t="shared" si="119"/>
        <v>  -   </v>
      </c>
      <c r="I274" s="118" t="str">
        <f t="shared" si="119"/>
        <v>  -   </v>
      </c>
      <c r="J274" s="118" t="str">
        <f t="shared" si="119"/>
        <v>  -   </v>
      </c>
      <c r="K274" s="111"/>
      <c r="L274" s="111"/>
      <c r="M274" s="111"/>
      <c r="N274" s="111"/>
      <c r="O274" s="111"/>
      <c r="P274" s="111"/>
      <c r="Q274" s="111"/>
      <c r="R274" s="111"/>
      <c r="S274" s="111"/>
      <c r="T274" s="111"/>
      <c r="U274" s="111"/>
      <c r="V274" s="111"/>
      <c r="W274" s="111"/>
    </row>
    <row r="275" ht="14.25" customHeight="1">
      <c r="A275" s="376" t="s">
        <v>756</v>
      </c>
      <c r="B275" s="376"/>
      <c r="C275" s="393"/>
      <c r="D275" s="118" t="str">
        <f t="shared" ref="D275:J275" si="120">D263+D274</f>
        <v>  -   </v>
      </c>
      <c r="E275" s="118" t="str">
        <f t="shared" si="120"/>
        <v>  -   </v>
      </c>
      <c r="F275" s="118" t="str">
        <f t="shared" si="120"/>
        <v>  -   </v>
      </c>
      <c r="G275" s="118" t="str">
        <f t="shared" si="120"/>
        <v>  -   </v>
      </c>
      <c r="H275" s="118" t="str">
        <f t="shared" si="120"/>
        <v>  -   </v>
      </c>
      <c r="I275" s="118" t="str">
        <f t="shared" si="120"/>
        <v>  -   </v>
      </c>
      <c r="J275" s="118" t="str">
        <f t="shared" si="120"/>
        <v>  -   </v>
      </c>
      <c r="K275" s="111"/>
      <c r="L275" s="111"/>
      <c r="M275" s="111"/>
      <c r="N275" s="111"/>
      <c r="O275" s="111"/>
      <c r="P275" s="111"/>
      <c r="Q275" s="111"/>
      <c r="R275" s="111"/>
      <c r="S275" s="111"/>
      <c r="T275" s="111"/>
      <c r="U275" s="111"/>
      <c r="V275" s="111"/>
      <c r="W275" s="111"/>
    </row>
    <row r="276" ht="14.25" customHeight="1">
      <c r="A276" s="73"/>
      <c r="B276" s="73"/>
      <c r="C276" s="116"/>
      <c r="D276" s="116"/>
      <c r="E276" s="116"/>
      <c r="F276" s="116"/>
      <c r="G276" s="116"/>
      <c r="H276" s="116"/>
      <c r="I276" s="116"/>
      <c r="J276" s="116"/>
      <c r="K276" s="111"/>
      <c r="L276" s="111"/>
      <c r="M276" s="111"/>
      <c r="N276" s="111"/>
      <c r="O276" s="111"/>
      <c r="P276" s="111"/>
      <c r="Q276" s="111"/>
      <c r="R276" s="111"/>
      <c r="S276" s="111"/>
      <c r="T276" s="111"/>
      <c r="U276" s="111"/>
      <c r="V276" s="111"/>
      <c r="W276" s="111"/>
    </row>
    <row r="277" ht="14.25" customHeight="1">
      <c r="A277" s="376" t="s">
        <v>461</v>
      </c>
      <c r="B277" s="376"/>
      <c r="C277" s="393"/>
      <c r="D277" s="118" t="str">
        <f t="shared" ref="D277:J277" si="121">D191-D275</f>
        <v>  -   </v>
      </c>
      <c r="E277" s="118" t="str">
        <f t="shared" si="121"/>
        <v>  -   </v>
      </c>
      <c r="F277" s="118" t="str">
        <f t="shared" si="121"/>
        <v>  -   </v>
      </c>
      <c r="G277" s="118" t="str">
        <f t="shared" si="121"/>
        <v>  -   </v>
      </c>
      <c r="H277" s="118" t="str">
        <f t="shared" si="121"/>
        <v>  -   </v>
      </c>
      <c r="I277" s="118" t="str">
        <f t="shared" si="121"/>
        <v>  -   </v>
      </c>
      <c r="J277" s="118" t="str">
        <f t="shared" si="121"/>
        <v>  -   </v>
      </c>
      <c r="K277" s="111"/>
      <c r="L277" s="111"/>
      <c r="M277" s="111"/>
      <c r="N277" s="111"/>
      <c r="O277" s="111"/>
      <c r="P277" s="111"/>
      <c r="Q277" s="111"/>
      <c r="R277" s="111"/>
      <c r="S277" s="111"/>
      <c r="T277" s="111"/>
      <c r="U277" s="111"/>
      <c r="V277" s="111"/>
      <c r="W277" s="111"/>
    </row>
    <row r="278" ht="14.25" customHeight="1">
      <c r="A278" s="294"/>
      <c r="B278" s="294"/>
      <c r="C278" s="294"/>
      <c r="D278" s="111"/>
      <c r="E278" s="111"/>
      <c r="F278" s="111"/>
      <c r="G278" s="111"/>
      <c r="H278" s="111"/>
      <c r="I278" s="111"/>
      <c r="J278" s="111"/>
      <c r="K278" s="111"/>
      <c r="L278" s="111"/>
      <c r="M278" s="111"/>
      <c r="N278" s="111"/>
      <c r="O278" s="111"/>
      <c r="P278" s="111"/>
      <c r="Q278" s="111"/>
      <c r="R278" s="111"/>
      <c r="S278" s="111"/>
      <c r="T278" s="111"/>
      <c r="U278" s="111"/>
      <c r="V278" s="111"/>
      <c r="W278" s="111"/>
    </row>
    <row r="279" ht="14.25" customHeight="1">
      <c r="A279" s="111"/>
      <c r="B279" s="111"/>
      <c r="C279" s="111"/>
      <c r="D279" s="111"/>
      <c r="E279" s="111"/>
      <c r="F279" s="111"/>
      <c r="G279" s="111"/>
      <c r="H279" s="111"/>
      <c r="I279" s="111"/>
      <c r="J279" s="111"/>
      <c r="K279" s="111"/>
      <c r="L279" s="111"/>
      <c r="M279" s="111"/>
      <c r="N279" s="111"/>
      <c r="O279" s="111"/>
      <c r="P279" s="111"/>
      <c r="Q279" s="111"/>
      <c r="R279" s="111"/>
      <c r="S279" s="111"/>
      <c r="T279" s="111"/>
      <c r="U279" s="111"/>
      <c r="V279" s="111"/>
      <c r="W279" s="111"/>
    </row>
    <row r="280" ht="14.25" customHeight="1">
      <c r="A280" s="24" t="s">
        <v>757</v>
      </c>
    </row>
    <row r="281" ht="14.25" customHeight="1"/>
    <row r="282" ht="14.25" customHeight="1">
      <c r="A282" t="s">
        <v>369</v>
      </c>
    </row>
    <row r="283" ht="14.25" customHeight="1">
      <c r="A283">
        <v>1.0</v>
      </c>
      <c r="B283" t="s">
        <v>658</v>
      </c>
    </row>
    <row r="284" ht="14.25" customHeight="1">
      <c r="A284">
        <v>2.0</v>
      </c>
      <c r="B284" t="s">
        <v>659</v>
      </c>
    </row>
    <row r="285" ht="14.25" customHeight="1">
      <c r="A285">
        <v>3.0</v>
      </c>
      <c r="B285" s="111" t="s">
        <v>660</v>
      </c>
    </row>
  </sheetData>
  <mergeCells count="3">
    <mergeCell ref="A122:J122"/>
    <mergeCell ref="A2:I2"/>
    <mergeCell ref="A280:J280"/>
  </mergeCells>
  <printOptions/>
  <pageMargins bottom="0.75" footer="0.0" header="0.0" left="0.7" right="0.7" top="0.75"/>
  <pageSetup orientation="portrait"/>
  <colBreaks count="1" manualBreakCount="1">
    <brk id="10" man="1"/>
  </colBreaks>
  <drawing r:id="rId1"/>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1.71"/>
    <col customWidth="1" min="2" max="2" width="11.57"/>
    <col customWidth="1" min="3" max="3" width="12.57"/>
    <col customWidth="1" min="4" max="4" width="15.14"/>
    <col customWidth="1" min="5" max="8" width="17.29"/>
    <col customWidth="1" min="9" max="10" width="16.86"/>
    <col customWidth="1" min="11" max="11" width="8.71"/>
  </cols>
  <sheetData>
    <row r="1" ht="14.25" customHeight="1"/>
    <row r="2" ht="14.25" customHeight="1"/>
    <row r="3" ht="14.25" customHeight="1">
      <c r="A3" s="25" t="s">
        <v>758</v>
      </c>
    </row>
    <row r="4" ht="14.25" customHeight="1">
      <c r="A4" s="25" t="s">
        <v>759</v>
      </c>
    </row>
    <row r="5" ht="14.25" customHeight="1">
      <c r="A5" s="111" t="s">
        <v>133</v>
      </c>
      <c r="B5" s="358">
        <v>1.0</v>
      </c>
      <c r="C5" s="111" t="s">
        <v>663</v>
      </c>
      <c r="D5" s="111"/>
      <c r="E5" s="111"/>
      <c r="F5" s="111"/>
      <c r="G5" s="111"/>
      <c r="H5" s="111"/>
    </row>
    <row r="6" ht="14.25" customHeight="1">
      <c r="A6" s="111" t="s">
        <v>631</v>
      </c>
      <c r="B6" s="189">
        <v>8.0</v>
      </c>
      <c r="C6" s="111"/>
      <c r="D6" s="111"/>
      <c r="E6" s="111"/>
      <c r="F6" s="111"/>
      <c r="G6" s="111"/>
      <c r="H6" s="111"/>
    </row>
    <row r="7" ht="14.25" customHeight="1">
      <c r="A7" s="111"/>
      <c r="B7" s="189"/>
      <c r="C7" s="111"/>
      <c r="D7" s="111"/>
      <c r="E7" s="111"/>
      <c r="F7" s="111"/>
      <c r="G7" s="111"/>
      <c r="H7" s="111"/>
    </row>
    <row r="8" ht="14.25" customHeight="1">
      <c r="A8" s="111"/>
      <c r="B8" s="189"/>
      <c r="C8" s="111"/>
      <c r="D8" s="111"/>
      <c r="E8" s="111"/>
      <c r="F8" s="111"/>
      <c r="G8" s="111"/>
      <c r="H8" s="111"/>
    </row>
    <row r="9" ht="14.25" customHeight="1">
      <c r="A9" s="111"/>
      <c r="B9" s="111"/>
      <c r="C9" s="111"/>
      <c r="D9" s="111"/>
      <c r="E9" s="111"/>
      <c r="F9" s="111"/>
      <c r="G9" s="111"/>
      <c r="H9" s="111"/>
    </row>
    <row r="10" ht="14.25" customHeight="1">
      <c r="A10" s="111"/>
      <c r="B10" s="111"/>
      <c r="C10" s="111"/>
      <c r="D10" s="111"/>
      <c r="E10" s="111"/>
      <c r="F10" s="111"/>
      <c r="G10" s="111"/>
      <c r="H10" s="111"/>
    </row>
    <row r="11" ht="14.25" customHeight="1">
      <c r="A11" s="198" t="s">
        <v>190</v>
      </c>
      <c r="B11" s="199" t="s">
        <v>193</v>
      </c>
      <c r="C11" s="199" t="s">
        <v>194</v>
      </c>
      <c r="D11" s="199" t="s">
        <v>195</v>
      </c>
      <c r="E11" s="199" t="s">
        <v>196</v>
      </c>
      <c r="F11" s="199" t="s">
        <v>197</v>
      </c>
      <c r="G11" s="199" t="s">
        <v>198</v>
      </c>
      <c r="H11" s="199" t="s">
        <v>199</v>
      </c>
    </row>
    <row r="12" ht="14.25" customHeight="1">
      <c r="A12" s="73" t="s">
        <v>665</v>
      </c>
      <c r="B12" s="372" t="str">
        <f t="shared" ref="B12:H12" si="1">B39/($B$5*$B$6)</f>
        <v>0</v>
      </c>
      <c r="C12" s="372" t="str">
        <f t="shared" si="1"/>
        <v>0</v>
      </c>
      <c r="D12" s="372" t="str">
        <f t="shared" si="1"/>
        <v>0</v>
      </c>
      <c r="E12" s="372" t="str">
        <f t="shared" si="1"/>
        <v>0</v>
      </c>
      <c r="F12" s="372" t="str">
        <f t="shared" si="1"/>
        <v>0</v>
      </c>
      <c r="G12" s="372" t="str">
        <f t="shared" si="1"/>
        <v>0</v>
      </c>
      <c r="H12" s="372" t="str">
        <f t="shared" si="1"/>
        <v>0</v>
      </c>
    </row>
    <row r="13" ht="14.25" customHeight="1">
      <c r="A13" s="73" t="str">
        <f>'11.F&amp;V Crop Production details'!A74</f>
        <v>Onion</v>
      </c>
      <c r="B13" s="73" t="str">
        <f>'11.F&amp;V Crop Production details'!B74</f>
        <v>0</v>
      </c>
      <c r="C13" s="73" t="str">
        <f>'11.F&amp;V Crop Production details'!C74</f>
        <v>0</v>
      </c>
      <c r="D13" s="73" t="str">
        <f>'11.F&amp;V Crop Production details'!D74</f>
        <v>0</v>
      </c>
      <c r="E13" s="73" t="str">
        <f>'11.F&amp;V Crop Production details'!E74</f>
        <v>0</v>
      </c>
      <c r="F13" s="73" t="str">
        <f>'11.F&amp;V Crop Production details'!F74</f>
        <v>0</v>
      </c>
      <c r="G13" s="73" t="str">
        <f>'11.F&amp;V Crop Production details'!G74</f>
        <v>0</v>
      </c>
      <c r="H13" s="73" t="str">
        <f>'11.F&amp;V Crop Production details'!H74</f>
        <v>0</v>
      </c>
    </row>
    <row r="14" ht="14.25" customHeight="1">
      <c r="A14" s="73" t="str">
        <f>'11.F&amp;V Crop Production details'!A75</f>
        <v>Tomato</v>
      </c>
      <c r="B14" s="73" t="str">
        <f>'11.F&amp;V Crop Production details'!B75</f>
        <v>0</v>
      </c>
      <c r="C14" s="73" t="str">
        <f>'11.F&amp;V Crop Production details'!C75</f>
        <v>0</v>
      </c>
      <c r="D14" s="73" t="str">
        <f>'11.F&amp;V Crop Production details'!D75</f>
        <v>0</v>
      </c>
      <c r="E14" s="73" t="str">
        <f>'11.F&amp;V Crop Production details'!E75</f>
        <v>0</v>
      </c>
      <c r="F14" s="73" t="str">
        <f>'11.F&amp;V Crop Production details'!F75</f>
        <v>0</v>
      </c>
      <c r="G14" s="73" t="str">
        <f>'11.F&amp;V Crop Production details'!G75</f>
        <v>0</v>
      </c>
      <c r="H14" s="73" t="str">
        <f>'11.F&amp;V Crop Production details'!H75</f>
        <v>0</v>
      </c>
    </row>
    <row r="15" ht="14.25" customHeight="1">
      <c r="A15" s="73" t="str">
        <f>'11.F&amp;V Crop Production details'!A76</f>
        <v>Okra</v>
      </c>
      <c r="B15" s="73" t="str">
        <f>'11.F&amp;V Crop Production details'!B76</f>
        <v>0</v>
      </c>
      <c r="C15" s="73" t="str">
        <f>'11.F&amp;V Crop Production details'!C76</f>
        <v>0</v>
      </c>
      <c r="D15" s="73" t="str">
        <f>'11.F&amp;V Crop Production details'!D76</f>
        <v>0</v>
      </c>
      <c r="E15" s="73" t="str">
        <f>'11.F&amp;V Crop Production details'!E76</f>
        <v>0</v>
      </c>
      <c r="F15" s="73" t="str">
        <f>'11.F&amp;V Crop Production details'!F76</f>
        <v>0</v>
      </c>
      <c r="G15" s="73" t="str">
        <f>'11.F&amp;V Crop Production details'!G76</f>
        <v>0</v>
      </c>
      <c r="H15" s="73" t="str">
        <f>'11.F&amp;V Crop Production details'!H76</f>
        <v>0</v>
      </c>
    </row>
    <row r="16" ht="14.25" customHeight="1">
      <c r="A16" s="73" t="str">
        <f>'11.F&amp;V Crop Production details'!A77</f>
        <v>Chilli</v>
      </c>
      <c r="B16" s="73" t="str">
        <f>'11.F&amp;V Crop Production details'!B77</f>
        <v>0</v>
      </c>
      <c r="C16" s="73" t="str">
        <f>'11.F&amp;V Crop Production details'!C77</f>
        <v>0</v>
      </c>
      <c r="D16" s="73" t="str">
        <f>'11.F&amp;V Crop Production details'!D77</f>
        <v>0</v>
      </c>
      <c r="E16" s="73" t="str">
        <f>'11.F&amp;V Crop Production details'!E77</f>
        <v>0</v>
      </c>
      <c r="F16" s="73" t="str">
        <f>'11.F&amp;V Crop Production details'!F77</f>
        <v>0</v>
      </c>
      <c r="G16" s="73" t="str">
        <f>'11.F&amp;V Crop Production details'!G77</f>
        <v>0</v>
      </c>
      <c r="H16" s="73" t="str">
        <f>'11.F&amp;V Crop Production details'!H77</f>
        <v>0</v>
      </c>
    </row>
    <row r="17" ht="14.25" customHeight="1">
      <c r="A17" s="73" t="str">
        <f>'11.F&amp;V Crop Production details'!A78</f>
        <v>Potato</v>
      </c>
      <c r="B17" s="73" t="str">
        <f>'11.F&amp;V Crop Production details'!B78</f>
        <v>0</v>
      </c>
      <c r="C17" s="73" t="str">
        <f>'11.F&amp;V Crop Production details'!C78</f>
        <v>0</v>
      </c>
      <c r="D17" s="73" t="str">
        <f>'11.F&amp;V Crop Production details'!D78</f>
        <v>0</v>
      </c>
      <c r="E17" s="73" t="str">
        <f>'11.F&amp;V Crop Production details'!E78</f>
        <v>0</v>
      </c>
      <c r="F17" s="73" t="str">
        <f>'11.F&amp;V Crop Production details'!F78</f>
        <v>0</v>
      </c>
      <c r="G17" s="73" t="str">
        <f>'11.F&amp;V Crop Production details'!G78</f>
        <v>0</v>
      </c>
      <c r="H17" s="73" t="str">
        <f>'11.F&amp;V Crop Production details'!H78</f>
        <v>0</v>
      </c>
    </row>
    <row r="18" ht="14.25" customHeight="1">
      <c r="A18" s="73" t="str">
        <f>'11.F&amp;V Crop Production details'!A79</f>
        <v/>
      </c>
      <c r="B18" s="73" t="str">
        <f>'11.F&amp;V Crop Production details'!B79</f>
        <v>0</v>
      </c>
      <c r="C18" s="73" t="str">
        <f>'11.F&amp;V Crop Production details'!C79</f>
        <v>0</v>
      </c>
      <c r="D18" s="73" t="str">
        <f>'11.F&amp;V Crop Production details'!D79</f>
        <v>0</v>
      </c>
      <c r="E18" s="73" t="str">
        <f>'11.F&amp;V Crop Production details'!E79</f>
        <v>0</v>
      </c>
      <c r="F18" s="73" t="str">
        <f>'11.F&amp;V Crop Production details'!F79</f>
        <v>0</v>
      </c>
      <c r="G18" s="73" t="str">
        <f>'11.F&amp;V Crop Production details'!G79</f>
        <v>0</v>
      </c>
      <c r="H18" s="73" t="str">
        <f>'11.F&amp;V Crop Production details'!H79</f>
        <v>0</v>
      </c>
    </row>
    <row r="19" ht="14.25" customHeight="1">
      <c r="A19" s="73" t="str">
        <f>'11.F&amp;V Crop Production details'!A80</f>
        <v/>
      </c>
      <c r="B19" s="73" t="str">
        <f>'11.F&amp;V Crop Production details'!B80</f>
        <v>0</v>
      </c>
      <c r="C19" s="73" t="str">
        <f>'11.F&amp;V Crop Production details'!C80</f>
        <v>0</v>
      </c>
      <c r="D19" s="73" t="str">
        <f>'11.F&amp;V Crop Production details'!D80</f>
        <v>0</v>
      </c>
      <c r="E19" s="73" t="str">
        <f>'11.F&amp;V Crop Production details'!E80</f>
        <v>0</v>
      </c>
      <c r="F19" s="73" t="str">
        <f>'11.F&amp;V Crop Production details'!F80</f>
        <v>0</v>
      </c>
      <c r="G19" s="73" t="str">
        <f>'11.F&amp;V Crop Production details'!G80</f>
        <v>0</v>
      </c>
      <c r="H19" s="73" t="str">
        <f>'11.F&amp;V Crop Production details'!H80</f>
        <v>0</v>
      </c>
    </row>
    <row r="20" ht="14.25" customHeight="1">
      <c r="A20" s="73" t="str">
        <f>'11.F&amp;V Crop Production details'!A81</f>
        <v/>
      </c>
      <c r="B20" s="73" t="str">
        <f>'11.F&amp;V Crop Production details'!B81</f>
        <v>0</v>
      </c>
      <c r="C20" s="73" t="str">
        <f>'11.F&amp;V Crop Production details'!C81</f>
        <v>0</v>
      </c>
      <c r="D20" s="73" t="str">
        <f>'11.F&amp;V Crop Production details'!D81</f>
        <v>0</v>
      </c>
      <c r="E20" s="73" t="str">
        <f>'11.F&amp;V Crop Production details'!E81</f>
        <v>0</v>
      </c>
      <c r="F20" s="73" t="str">
        <f>'11.F&amp;V Crop Production details'!F81</f>
        <v>0</v>
      </c>
      <c r="G20" s="73" t="str">
        <f>'11.F&amp;V Crop Production details'!G81</f>
        <v>0</v>
      </c>
      <c r="H20" s="73" t="str">
        <f>'11.F&amp;V Crop Production details'!H81</f>
        <v>0</v>
      </c>
    </row>
    <row r="21" ht="14.25" customHeight="1">
      <c r="A21" s="73" t="str">
        <f>'11.F&amp;V Crop Production details'!A82</f>
        <v/>
      </c>
      <c r="B21" s="73" t="str">
        <f>'11.F&amp;V Crop Production details'!B82</f>
        <v>0</v>
      </c>
      <c r="C21" s="73" t="str">
        <f>'11.F&amp;V Crop Production details'!C82</f>
        <v>0</v>
      </c>
      <c r="D21" s="73" t="str">
        <f>'11.F&amp;V Crop Production details'!D82</f>
        <v>0</v>
      </c>
      <c r="E21" s="73" t="str">
        <f>'11.F&amp;V Crop Production details'!E82</f>
        <v>0</v>
      </c>
      <c r="F21" s="73" t="str">
        <f>'11.F&amp;V Crop Production details'!F82</f>
        <v>0</v>
      </c>
      <c r="G21" s="73" t="str">
        <f>'11.F&amp;V Crop Production details'!G82</f>
        <v>0</v>
      </c>
      <c r="H21" s="73" t="str">
        <f>'11.F&amp;V Crop Production details'!H82</f>
        <v>0</v>
      </c>
    </row>
    <row r="22" ht="14.25" customHeight="1">
      <c r="A22" s="73" t="str">
        <f>'11.F&amp;V Crop Production details'!A83</f>
        <v>Onion</v>
      </c>
      <c r="B22" s="73" t="str">
        <f>'11.F&amp;V Crop Production details'!B83</f>
        <v>0</v>
      </c>
      <c r="C22" s="73" t="str">
        <f>'11.F&amp;V Crop Production details'!C83</f>
        <v>0</v>
      </c>
      <c r="D22" s="73" t="str">
        <f>'11.F&amp;V Crop Production details'!D83</f>
        <v>0</v>
      </c>
      <c r="E22" s="73" t="str">
        <f>'11.F&amp;V Crop Production details'!E83</f>
        <v>0</v>
      </c>
      <c r="F22" s="73" t="str">
        <f>'11.F&amp;V Crop Production details'!F83</f>
        <v>0</v>
      </c>
      <c r="G22" s="73" t="str">
        <f>'11.F&amp;V Crop Production details'!G83</f>
        <v>0</v>
      </c>
      <c r="H22" s="73" t="str">
        <f>'11.F&amp;V Crop Production details'!H83</f>
        <v>0</v>
      </c>
    </row>
    <row r="23" ht="14.25" customHeight="1">
      <c r="A23" s="73" t="str">
        <f>'11.F&amp;V Crop Production details'!A84</f>
        <v>Tomato</v>
      </c>
      <c r="B23" s="73" t="str">
        <f>'11.F&amp;V Crop Production details'!B84</f>
        <v>0</v>
      </c>
      <c r="C23" s="73" t="str">
        <f>'11.F&amp;V Crop Production details'!C84</f>
        <v>0</v>
      </c>
      <c r="D23" s="73" t="str">
        <f>'11.F&amp;V Crop Production details'!D84</f>
        <v>0</v>
      </c>
      <c r="E23" s="73" t="str">
        <f>'11.F&amp;V Crop Production details'!E84</f>
        <v>0</v>
      </c>
      <c r="F23" s="73" t="str">
        <f>'11.F&amp;V Crop Production details'!F84</f>
        <v>0</v>
      </c>
      <c r="G23" s="73" t="str">
        <f>'11.F&amp;V Crop Production details'!G84</f>
        <v>0</v>
      </c>
      <c r="H23" s="73" t="str">
        <f>'11.F&amp;V Crop Production details'!H84</f>
        <v>0</v>
      </c>
    </row>
    <row r="24" ht="14.25" customHeight="1">
      <c r="A24" s="73" t="str">
        <f>'11.F&amp;V Crop Production details'!A85</f>
        <v>Okra</v>
      </c>
      <c r="B24" s="73" t="str">
        <f>'11.F&amp;V Crop Production details'!B85</f>
        <v>0</v>
      </c>
      <c r="C24" s="73" t="str">
        <f>'11.F&amp;V Crop Production details'!C85</f>
        <v>0</v>
      </c>
      <c r="D24" s="73" t="str">
        <f>'11.F&amp;V Crop Production details'!D85</f>
        <v>0</v>
      </c>
      <c r="E24" s="73" t="str">
        <f>'11.F&amp;V Crop Production details'!E85</f>
        <v>0</v>
      </c>
      <c r="F24" s="73" t="str">
        <f>'11.F&amp;V Crop Production details'!F85</f>
        <v>0</v>
      </c>
      <c r="G24" s="73" t="str">
        <f>'11.F&amp;V Crop Production details'!G85</f>
        <v>0</v>
      </c>
      <c r="H24" s="73" t="str">
        <f>'11.F&amp;V Crop Production details'!H85</f>
        <v>0</v>
      </c>
    </row>
    <row r="25" ht="14.25" customHeight="1">
      <c r="A25" s="73" t="str">
        <f>'11.F&amp;V Crop Production details'!A86</f>
        <v>Chilli</v>
      </c>
      <c r="B25" s="73" t="str">
        <f>'11.F&amp;V Crop Production details'!B86</f>
        <v>0</v>
      </c>
      <c r="C25" s="73" t="str">
        <f>'11.F&amp;V Crop Production details'!C86</f>
        <v>0</v>
      </c>
      <c r="D25" s="73" t="str">
        <f>'11.F&amp;V Crop Production details'!D86</f>
        <v>0</v>
      </c>
      <c r="E25" s="73" t="str">
        <f>'11.F&amp;V Crop Production details'!E86</f>
        <v>0</v>
      </c>
      <c r="F25" s="73" t="str">
        <f>'11.F&amp;V Crop Production details'!F86</f>
        <v>0</v>
      </c>
      <c r="G25" s="73" t="str">
        <f>'11.F&amp;V Crop Production details'!G86</f>
        <v>0</v>
      </c>
      <c r="H25" s="73" t="str">
        <f>'11.F&amp;V Crop Production details'!H86</f>
        <v>0</v>
      </c>
    </row>
    <row r="26" ht="14.25" customHeight="1">
      <c r="A26" s="73" t="str">
        <f>'11.F&amp;V Crop Production details'!A87</f>
        <v>Brinjal</v>
      </c>
      <c r="B26" s="73" t="str">
        <f>'11.F&amp;V Crop Production details'!B87</f>
        <v>0</v>
      </c>
      <c r="C26" s="73" t="str">
        <f>'11.F&amp;V Crop Production details'!C87</f>
        <v>0</v>
      </c>
      <c r="D26" s="73" t="str">
        <f>'11.F&amp;V Crop Production details'!D87</f>
        <v>0</v>
      </c>
      <c r="E26" s="73" t="str">
        <f>'11.F&amp;V Crop Production details'!E87</f>
        <v>0</v>
      </c>
      <c r="F26" s="73" t="str">
        <f>'11.F&amp;V Crop Production details'!F87</f>
        <v>0</v>
      </c>
      <c r="G26" s="73" t="str">
        <f>'11.F&amp;V Crop Production details'!G87</f>
        <v>0</v>
      </c>
      <c r="H26" s="73" t="str">
        <f>'11.F&amp;V Crop Production details'!H87</f>
        <v>0</v>
      </c>
    </row>
    <row r="27" ht="14.25" customHeight="1">
      <c r="A27" s="73" t="str">
        <f>'11.F&amp;V Crop Production details'!A88</f>
        <v/>
      </c>
      <c r="B27" s="73" t="str">
        <f>'11.F&amp;V Crop Production details'!B88</f>
        <v>0</v>
      </c>
      <c r="C27" s="73" t="str">
        <f>'11.F&amp;V Crop Production details'!C88</f>
        <v>0</v>
      </c>
      <c r="D27" s="73" t="str">
        <f>'11.F&amp;V Crop Production details'!D88</f>
        <v>0</v>
      </c>
      <c r="E27" s="73" t="str">
        <f>'11.F&amp;V Crop Production details'!E88</f>
        <v>0</v>
      </c>
      <c r="F27" s="73" t="str">
        <f>'11.F&amp;V Crop Production details'!F88</f>
        <v>0</v>
      </c>
      <c r="G27" s="73" t="str">
        <f>'11.F&amp;V Crop Production details'!G88</f>
        <v>0</v>
      </c>
      <c r="H27" s="73" t="str">
        <f>'11.F&amp;V Crop Production details'!H88</f>
        <v>0</v>
      </c>
    </row>
    <row r="28" ht="14.25" customHeight="1">
      <c r="A28" s="73" t="str">
        <f>'11.F&amp;V Crop Production details'!A89</f>
        <v/>
      </c>
      <c r="B28" s="73" t="str">
        <f>'11.F&amp;V Crop Production details'!B89</f>
        <v>0</v>
      </c>
      <c r="C28" s="73" t="str">
        <f>'11.F&amp;V Crop Production details'!C89</f>
        <v>0</v>
      </c>
      <c r="D28" s="73" t="str">
        <f>'11.F&amp;V Crop Production details'!D89</f>
        <v>0</v>
      </c>
      <c r="E28" s="73" t="str">
        <f>'11.F&amp;V Crop Production details'!E89</f>
        <v>0</v>
      </c>
      <c r="F28" s="73" t="str">
        <f>'11.F&amp;V Crop Production details'!F89</f>
        <v>0</v>
      </c>
      <c r="G28" s="73" t="str">
        <f>'11.F&amp;V Crop Production details'!G89</f>
        <v>0</v>
      </c>
      <c r="H28" s="73" t="str">
        <f>'11.F&amp;V Crop Production details'!H89</f>
        <v>0</v>
      </c>
    </row>
    <row r="29" ht="14.25" customHeight="1">
      <c r="A29" s="73" t="str">
        <f>'11.F&amp;V Crop Production details'!A90</f>
        <v/>
      </c>
      <c r="B29" s="73" t="str">
        <f>'11.F&amp;V Crop Production details'!B90</f>
        <v>0</v>
      </c>
      <c r="C29" s="73" t="str">
        <f>'11.F&amp;V Crop Production details'!C90</f>
        <v>0</v>
      </c>
      <c r="D29" s="73" t="str">
        <f>'11.F&amp;V Crop Production details'!D90</f>
        <v>0</v>
      </c>
      <c r="E29" s="73" t="str">
        <f>'11.F&amp;V Crop Production details'!E90</f>
        <v>0</v>
      </c>
      <c r="F29" s="73" t="str">
        <f>'11.F&amp;V Crop Production details'!F90</f>
        <v>0</v>
      </c>
      <c r="G29" s="73" t="str">
        <f>'11.F&amp;V Crop Production details'!G90</f>
        <v>0</v>
      </c>
      <c r="H29" s="73" t="str">
        <f>'11.F&amp;V Crop Production details'!H90</f>
        <v>0</v>
      </c>
    </row>
    <row r="30" ht="14.25" customHeight="1">
      <c r="A30" s="73" t="str">
        <f>'11.F&amp;V Crop Production details'!A91</f>
        <v/>
      </c>
      <c r="B30" s="73" t="str">
        <f>'11.F&amp;V Crop Production details'!B91</f>
        <v>0</v>
      </c>
      <c r="C30" s="73" t="str">
        <f>'11.F&amp;V Crop Production details'!C91</f>
        <v>0</v>
      </c>
      <c r="D30" s="73" t="str">
        <f>'11.F&amp;V Crop Production details'!D91</f>
        <v>0</v>
      </c>
      <c r="E30" s="73" t="str">
        <f>'11.F&amp;V Crop Production details'!E91</f>
        <v>0</v>
      </c>
      <c r="F30" s="73" t="str">
        <f>'11.F&amp;V Crop Production details'!F91</f>
        <v>0</v>
      </c>
      <c r="G30" s="73" t="str">
        <f>'11.F&amp;V Crop Production details'!G91</f>
        <v>0</v>
      </c>
      <c r="H30" s="73" t="str">
        <f>'11.F&amp;V Crop Production details'!H91</f>
        <v>0</v>
      </c>
    </row>
    <row r="31" ht="14.25" customHeight="1">
      <c r="A31" s="73" t="str">
        <f>'11.F&amp;V Crop Production details'!A92</f>
        <v/>
      </c>
      <c r="B31" s="73" t="str">
        <f>'11.F&amp;V Crop Production details'!B92</f>
        <v>0</v>
      </c>
      <c r="C31" s="73" t="str">
        <f>'11.F&amp;V Crop Production details'!C92</f>
        <v>0</v>
      </c>
      <c r="D31" s="73" t="str">
        <f>'11.F&amp;V Crop Production details'!D92</f>
        <v>0</v>
      </c>
      <c r="E31" s="73" t="str">
        <f>'11.F&amp;V Crop Production details'!E92</f>
        <v>0</v>
      </c>
      <c r="F31" s="73" t="str">
        <f>'11.F&amp;V Crop Production details'!F92</f>
        <v>0</v>
      </c>
      <c r="G31" s="73" t="str">
        <f>'11.F&amp;V Crop Production details'!G92</f>
        <v>0</v>
      </c>
      <c r="H31" s="73" t="str">
        <f>'11.F&amp;V Crop Production details'!H92</f>
        <v/>
      </c>
    </row>
    <row r="32" ht="14.25" customHeight="1">
      <c r="A32" s="73" t="str">
        <f>'11.F&amp;V Crop Production details'!A93</f>
        <v/>
      </c>
      <c r="B32" s="73" t="str">
        <f>'11.F&amp;V Crop Production details'!B93</f>
        <v>0</v>
      </c>
      <c r="C32" s="73" t="str">
        <f>'11.F&amp;V Crop Production details'!C93</f>
        <v>0</v>
      </c>
      <c r="D32" s="73" t="str">
        <f>'11.F&amp;V Crop Production details'!D93</f>
        <v>0</v>
      </c>
      <c r="E32" s="73" t="str">
        <f>'11.F&amp;V Crop Production details'!E93</f>
        <v>0</v>
      </c>
      <c r="F32" s="73" t="str">
        <f>'11.F&amp;V Crop Production details'!F93</f>
        <v>0</v>
      </c>
      <c r="G32" s="73" t="str">
        <f>'11.F&amp;V Crop Production details'!G93</f>
        <v>0</v>
      </c>
      <c r="H32" s="73" t="str">
        <f>'11.F&amp;V Crop Production details'!H93</f>
        <v/>
      </c>
    </row>
    <row r="33" ht="14.25" customHeight="1">
      <c r="A33" s="73" t="str">
        <f>'11.F&amp;V Crop Production details'!A94</f>
        <v/>
      </c>
      <c r="B33" s="73" t="str">
        <f>'11.F&amp;V Crop Production details'!B94</f>
        <v>0</v>
      </c>
      <c r="C33" s="73" t="str">
        <f>'11.F&amp;V Crop Production details'!C94</f>
        <v>0</v>
      </c>
      <c r="D33" s="73" t="str">
        <f>'11.F&amp;V Crop Production details'!D94</f>
        <v>0</v>
      </c>
      <c r="E33" s="73" t="str">
        <f>'11.F&amp;V Crop Production details'!E94</f>
        <v>0</v>
      </c>
      <c r="F33" s="73" t="str">
        <f>'11.F&amp;V Crop Production details'!F94</f>
        <v>0</v>
      </c>
      <c r="G33" s="73" t="str">
        <f>'11.F&amp;V Crop Production details'!G94</f>
        <v>0</v>
      </c>
      <c r="H33" s="73" t="str">
        <f>'11.F&amp;V Crop Production details'!H94</f>
        <v/>
      </c>
    </row>
    <row r="34" ht="14.25" customHeight="1">
      <c r="A34" s="73" t="str">
        <f>'11.F&amp;V Crop Production details'!A95</f>
        <v>Pomegranate</v>
      </c>
      <c r="B34" s="73" t="str">
        <f>'11.F&amp;V Crop Production details'!B95</f>
        <v>0</v>
      </c>
      <c r="C34" s="73" t="str">
        <f>'11.F&amp;V Crop Production details'!C95</f>
        <v>0</v>
      </c>
      <c r="D34" s="73" t="str">
        <f>'11.F&amp;V Crop Production details'!D95</f>
        <v>0</v>
      </c>
      <c r="E34" s="73" t="str">
        <f>'11.F&amp;V Crop Production details'!E95</f>
        <v>0</v>
      </c>
      <c r="F34" s="73" t="str">
        <f>'11.F&amp;V Crop Production details'!F95</f>
        <v>0</v>
      </c>
      <c r="G34" s="73" t="str">
        <f>'11.F&amp;V Crop Production details'!G95</f>
        <v>0</v>
      </c>
      <c r="H34" s="73" t="str">
        <f>'11.F&amp;V Crop Production details'!H95</f>
        <v>0</v>
      </c>
    </row>
    <row r="35" ht="14.25" customHeight="1">
      <c r="A35" s="73" t="str">
        <f>'11.F&amp;V Crop Production details'!A96</f>
        <v>Custard Apple</v>
      </c>
      <c r="B35" s="73" t="str">
        <f>'11.F&amp;V Crop Production details'!B96</f>
        <v>0</v>
      </c>
      <c r="C35" s="73" t="str">
        <f>'11.F&amp;V Crop Production details'!C96</f>
        <v>0</v>
      </c>
      <c r="D35" s="73" t="str">
        <f>'11.F&amp;V Crop Production details'!D96</f>
        <v>0</v>
      </c>
      <c r="E35" s="73" t="str">
        <f>'11.F&amp;V Crop Production details'!E96</f>
        <v>0</v>
      </c>
      <c r="F35" s="73" t="str">
        <f>'11.F&amp;V Crop Production details'!F96</f>
        <v>0</v>
      </c>
      <c r="G35" s="73" t="str">
        <f>'11.F&amp;V Crop Production details'!G96</f>
        <v>0</v>
      </c>
      <c r="H35" s="73" t="str">
        <f>'11.F&amp;V Crop Production details'!H96</f>
        <v>0</v>
      </c>
    </row>
    <row r="36" ht="14.25" customHeight="1">
      <c r="A36" s="73" t="str">
        <f>'11.F&amp;V Crop Production details'!A97</f>
        <v>Guava</v>
      </c>
      <c r="B36" s="73" t="str">
        <f>'11.F&amp;V Crop Production details'!B97</f>
        <v>0</v>
      </c>
      <c r="C36" s="73" t="str">
        <f>'11.F&amp;V Crop Production details'!C97</f>
        <v>0</v>
      </c>
      <c r="D36" s="73" t="str">
        <f>'11.F&amp;V Crop Production details'!D97</f>
        <v>0</v>
      </c>
      <c r="E36" s="73" t="str">
        <f>'11.F&amp;V Crop Production details'!E97</f>
        <v>0</v>
      </c>
      <c r="F36" s="73" t="str">
        <f>'11.F&amp;V Crop Production details'!F97</f>
        <v>0</v>
      </c>
      <c r="G36" s="73" t="str">
        <f>'11.F&amp;V Crop Production details'!G97</f>
        <v>0</v>
      </c>
      <c r="H36" s="73" t="str">
        <f>'11.F&amp;V Crop Production details'!H97</f>
        <v>0</v>
      </c>
    </row>
    <row r="37" ht="14.25" customHeight="1">
      <c r="A37" s="73" t="str">
        <f>'11.F&amp;V Crop Production details'!A98</f>
        <v>Citrus</v>
      </c>
      <c r="B37" s="73" t="str">
        <f>'11.F&amp;V Crop Production details'!B98</f>
        <v>0</v>
      </c>
      <c r="C37" s="73" t="str">
        <f>'11.F&amp;V Crop Production details'!C98</f>
        <v>0</v>
      </c>
      <c r="D37" s="73" t="str">
        <f>'11.F&amp;V Crop Production details'!D98</f>
        <v>0</v>
      </c>
      <c r="E37" s="73" t="str">
        <f>'11.F&amp;V Crop Production details'!E98</f>
        <v>0</v>
      </c>
      <c r="F37" s="73" t="str">
        <f>'11.F&amp;V Crop Production details'!F98</f>
        <v>0</v>
      </c>
      <c r="G37" s="73" t="str">
        <f>'11.F&amp;V Crop Production details'!G98</f>
        <v>0</v>
      </c>
      <c r="H37" s="73" t="str">
        <f>'11.F&amp;V Crop Production details'!H98</f>
        <v>0</v>
      </c>
    </row>
    <row r="38" ht="14.25" customHeight="1">
      <c r="A38" s="73"/>
      <c r="B38" s="73"/>
      <c r="C38" s="73"/>
      <c r="D38" s="73"/>
      <c r="E38" s="73"/>
      <c r="F38" s="73"/>
      <c r="G38" s="73"/>
      <c r="H38" s="73"/>
    </row>
    <row r="39" ht="14.25" customHeight="1">
      <c r="A39" s="73" t="s">
        <v>666</v>
      </c>
      <c r="B39" s="73" t="str">
        <f t="shared" ref="B39:H39" si="2">SUM(B13:B37)</f>
        <v>0</v>
      </c>
      <c r="C39" s="73" t="str">
        <f t="shared" si="2"/>
        <v>0</v>
      </c>
      <c r="D39" s="73" t="str">
        <f t="shared" si="2"/>
        <v>0</v>
      </c>
      <c r="E39" s="73" t="str">
        <f t="shared" si="2"/>
        <v>0</v>
      </c>
      <c r="F39" s="73" t="str">
        <f t="shared" si="2"/>
        <v>0</v>
      </c>
      <c r="G39" s="73" t="str">
        <f t="shared" si="2"/>
        <v>0</v>
      </c>
      <c r="H39" s="73" t="str">
        <f t="shared" si="2"/>
        <v>0</v>
      </c>
    </row>
    <row r="40" ht="14.25" customHeight="1">
      <c r="A40" s="373" t="s">
        <v>640</v>
      </c>
      <c r="B40" s="212">
        <v>0.0</v>
      </c>
      <c r="C40" s="212" t="str">
        <f t="shared" ref="C40:H40" si="3">B40</f>
        <v>0%</v>
      </c>
      <c r="D40" s="212" t="str">
        <f t="shared" si="3"/>
        <v>0%</v>
      </c>
      <c r="E40" s="212" t="str">
        <f t="shared" si="3"/>
        <v>0%</v>
      </c>
      <c r="F40" s="212" t="str">
        <f t="shared" si="3"/>
        <v>0%</v>
      </c>
      <c r="G40" s="212" t="str">
        <f t="shared" si="3"/>
        <v>0%</v>
      </c>
      <c r="H40" s="212" t="str">
        <f t="shared" si="3"/>
        <v>0%</v>
      </c>
    </row>
    <row r="41" ht="14.25" customHeight="1">
      <c r="A41" s="73" t="s">
        <v>667</v>
      </c>
      <c r="B41" s="202" t="str">
        <f t="shared" ref="B41:H41" si="4">1-B40</f>
        <v>100%</v>
      </c>
      <c r="C41" s="202" t="str">
        <f t="shared" si="4"/>
        <v>100%</v>
      </c>
      <c r="D41" s="202" t="str">
        <f t="shared" si="4"/>
        <v>100%</v>
      </c>
      <c r="E41" s="202" t="str">
        <f t="shared" si="4"/>
        <v>100%</v>
      </c>
      <c r="F41" s="202" t="str">
        <f t="shared" si="4"/>
        <v>100%</v>
      </c>
      <c r="G41" s="202" t="str">
        <f t="shared" si="4"/>
        <v>100%</v>
      </c>
      <c r="H41" s="202" t="str">
        <f t="shared" si="4"/>
        <v>100%</v>
      </c>
    </row>
    <row r="42" ht="14.25" customHeight="1">
      <c r="A42" s="117" t="s">
        <v>640</v>
      </c>
      <c r="B42" s="374" t="str">
        <f t="shared" ref="B42:H42" si="5">B39*B40</f>
        <v>  -   </v>
      </c>
      <c r="C42" s="374" t="str">
        <f t="shared" si="5"/>
        <v>  -   </v>
      </c>
      <c r="D42" s="374" t="str">
        <f t="shared" si="5"/>
        <v>  -   </v>
      </c>
      <c r="E42" s="374" t="str">
        <f t="shared" si="5"/>
        <v>  -   </v>
      </c>
      <c r="F42" s="374" t="str">
        <f t="shared" si="5"/>
        <v>  -   </v>
      </c>
      <c r="G42" s="374" t="str">
        <f t="shared" si="5"/>
        <v>  -   </v>
      </c>
      <c r="H42" s="374" t="str">
        <f t="shared" si="5"/>
        <v>  -   </v>
      </c>
    </row>
    <row r="43" ht="14.25" customHeight="1">
      <c r="A43" s="117" t="s">
        <v>641</v>
      </c>
      <c r="B43" s="118"/>
      <c r="C43" s="118"/>
      <c r="D43" s="118"/>
      <c r="E43" s="118"/>
      <c r="F43" s="118"/>
      <c r="G43" s="118"/>
      <c r="H43" s="118"/>
    </row>
    <row r="44" ht="14.25" customHeight="1">
      <c r="A44" s="73" t="str">
        <f t="shared" ref="A44:A61" si="6">A13</f>
        <v>Onion</v>
      </c>
      <c r="B44" s="116" t="str">
        <f t="shared" ref="B44:B61" si="7">B13*$B$41</f>
        <v>  -   </v>
      </c>
      <c r="C44" s="116" t="str">
        <f t="shared" ref="C44:C61" si="8">C13*$C$41</f>
        <v>  -   </v>
      </c>
      <c r="D44" s="116" t="str">
        <f t="shared" ref="D44:D61" si="9">D13*$D$41</f>
        <v>  -   </v>
      </c>
      <c r="E44" s="116" t="str">
        <f t="shared" ref="E44:E61" si="10">E13*$E$41</f>
        <v>  -   </v>
      </c>
      <c r="F44" s="116" t="str">
        <f t="shared" ref="F44:F61" si="11">F13*$F$41</f>
        <v>  -   </v>
      </c>
      <c r="G44" s="116" t="str">
        <f t="shared" ref="G44:G61" si="12">G13*$G$41</f>
        <v>  -   </v>
      </c>
      <c r="H44" s="116" t="str">
        <f t="shared" ref="H44:H61" si="13">H13*$H$41</f>
        <v>  -   </v>
      </c>
    </row>
    <row r="45" ht="14.25" customHeight="1">
      <c r="A45" s="73" t="str">
        <f t="shared" si="6"/>
        <v>Tomato</v>
      </c>
      <c r="B45" s="116" t="str">
        <f t="shared" si="7"/>
        <v>  -   </v>
      </c>
      <c r="C45" s="116" t="str">
        <f t="shared" si="8"/>
        <v>  -   </v>
      </c>
      <c r="D45" s="116" t="str">
        <f t="shared" si="9"/>
        <v>  -   </v>
      </c>
      <c r="E45" s="116" t="str">
        <f t="shared" si="10"/>
        <v>  -   </v>
      </c>
      <c r="F45" s="116" t="str">
        <f t="shared" si="11"/>
        <v>  -   </v>
      </c>
      <c r="G45" s="116" t="str">
        <f t="shared" si="12"/>
        <v>  -   </v>
      </c>
      <c r="H45" s="116" t="str">
        <f t="shared" si="13"/>
        <v>  -   </v>
      </c>
    </row>
    <row r="46" ht="14.25" customHeight="1">
      <c r="A46" s="73" t="str">
        <f t="shared" si="6"/>
        <v>Okra</v>
      </c>
      <c r="B46" s="116" t="str">
        <f t="shared" si="7"/>
        <v>  -   </v>
      </c>
      <c r="C46" s="116" t="str">
        <f t="shared" si="8"/>
        <v>  -   </v>
      </c>
      <c r="D46" s="116" t="str">
        <f t="shared" si="9"/>
        <v>  -   </v>
      </c>
      <c r="E46" s="116" t="str">
        <f t="shared" si="10"/>
        <v>  -   </v>
      </c>
      <c r="F46" s="116" t="str">
        <f t="shared" si="11"/>
        <v>  -   </v>
      </c>
      <c r="G46" s="116" t="str">
        <f t="shared" si="12"/>
        <v>  -   </v>
      </c>
      <c r="H46" s="116" t="str">
        <f t="shared" si="13"/>
        <v>  -   </v>
      </c>
    </row>
    <row r="47" ht="14.25" customHeight="1">
      <c r="A47" s="73" t="str">
        <f t="shared" si="6"/>
        <v>Chilli</v>
      </c>
      <c r="B47" s="116" t="str">
        <f t="shared" si="7"/>
        <v>  -   </v>
      </c>
      <c r="C47" s="116" t="str">
        <f t="shared" si="8"/>
        <v>  -   </v>
      </c>
      <c r="D47" s="116" t="str">
        <f t="shared" si="9"/>
        <v>  -   </v>
      </c>
      <c r="E47" s="116" t="str">
        <f t="shared" si="10"/>
        <v>  -   </v>
      </c>
      <c r="F47" s="116" t="str">
        <f t="shared" si="11"/>
        <v>  -   </v>
      </c>
      <c r="G47" s="116" t="str">
        <f t="shared" si="12"/>
        <v>  -   </v>
      </c>
      <c r="H47" s="116" t="str">
        <f t="shared" si="13"/>
        <v>  -   </v>
      </c>
    </row>
    <row r="48" ht="14.25" customHeight="1">
      <c r="A48" s="73" t="str">
        <f t="shared" si="6"/>
        <v>Potato</v>
      </c>
      <c r="B48" s="116" t="str">
        <f t="shared" si="7"/>
        <v>  -   </v>
      </c>
      <c r="C48" s="116" t="str">
        <f t="shared" si="8"/>
        <v>  -   </v>
      </c>
      <c r="D48" s="116" t="str">
        <f t="shared" si="9"/>
        <v>  -   </v>
      </c>
      <c r="E48" s="116" t="str">
        <f t="shared" si="10"/>
        <v>  -   </v>
      </c>
      <c r="F48" s="116" t="str">
        <f t="shared" si="11"/>
        <v>  -   </v>
      </c>
      <c r="G48" s="116" t="str">
        <f t="shared" si="12"/>
        <v>  -   </v>
      </c>
      <c r="H48" s="116" t="str">
        <f t="shared" si="13"/>
        <v>  -   </v>
      </c>
    </row>
    <row r="49" ht="14.25" customHeight="1">
      <c r="A49" s="73" t="str">
        <f t="shared" si="6"/>
        <v/>
      </c>
      <c r="B49" s="116" t="str">
        <f t="shared" si="7"/>
        <v>  -   </v>
      </c>
      <c r="C49" s="116" t="str">
        <f t="shared" si="8"/>
        <v>  -   </v>
      </c>
      <c r="D49" s="116" t="str">
        <f t="shared" si="9"/>
        <v>  -   </v>
      </c>
      <c r="E49" s="116" t="str">
        <f t="shared" si="10"/>
        <v>  -   </v>
      </c>
      <c r="F49" s="116" t="str">
        <f t="shared" si="11"/>
        <v>  -   </v>
      </c>
      <c r="G49" s="116" t="str">
        <f t="shared" si="12"/>
        <v>  -   </v>
      </c>
      <c r="H49" s="116" t="str">
        <f t="shared" si="13"/>
        <v>  -   </v>
      </c>
    </row>
    <row r="50" ht="14.25" customHeight="1">
      <c r="A50" s="73" t="str">
        <f t="shared" si="6"/>
        <v/>
      </c>
      <c r="B50" s="116" t="str">
        <f t="shared" si="7"/>
        <v>  -   </v>
      </c>
      <c r="C50" s="116" t="str">
        <f t="shared" si="8"/>
        <v>  -   </v>
      </c>
      <c r="D50" s="116" t="str">
        <f t="shared" si="9"/>
        <v>  -   </v>
      </c>
      <c r="E50" s="116" t="str">
        <f t="shared" si="10"/>
        <v>  -   </v>
      </c>
      <c r="F50" s="116" t="str">
        <f t="shared" si="11"/>
        <v>  -   </v>
      </c>
      <c r="G50" s="116" t="str">
        <f t="shared" si="12"/>
        <v>  -   </v>
      </c>
      <c r="H50" s="116" t="str">
        <f t="shared" si="13"/>
        <v>  -   </v>
      </c>
    </row>
    <row r="51" ht="14.25" customHeight="1">
      <c r="A51" s="73" t="str">
        <f t="shared" si="6"/>
        <v/>
      </c>
      <c r="B51" s="116" t="str">
        <f t="shared" si="7"/>
        <v>  -   </v>
      </c>
      <c r="C51" s="116" t="str">
        <f t="shared" si="8"/>
        <v>  -   </v>
      </c>
      <c r="D51" s="116" t="str">
        <f t="shared" si="9"/>
        <v>  -   </v>
      </c>
      <c r="E51" s="116" t="str">
        <f t="shared" si="10"/>
        <v>  -   </v>
      </c>
      <c r="F51" s="116" t="str">
        <f t="shared" si="11"/>
        <v>  -   </v>
      </c>
      <c r="G51" s="116" t="str">
        <f t="shared" si="12"/>
        <v>  -   </v>
      </c>
      <c r="H51" s="116" t="str">
        <f t="shared" si="13"/>
        <v>  -   </v>
      </c>
    </row>
    <row r="52" ht="14.25" customHeight="1">
      <c r="A52" s="73" t="str">
        <f t="shared" si="6"/>
        <v/>
      </c>
      <c r="B52" s="116" t="str">
        <f t="shared" si="7"/>
        <v>  -   </v>
      </c>
      <c r="C52" s="116" t="str">
        <f t="shared" si="8"/>
        <v>  -   </v>
      </c>
      <c r="D52" s="116" t="str">
        <f t="shared" si="9"/>
        <v>  -   </v>
      </c>
      <c r="E52" s="116" t="str">
        <f t="shared" si="10"/>
        <v>  -   </v>
      </c>
      <c r="F52" s="116" t="str">
        <f t="shared" si="11"/>
        <v>  -   </v>
      </c>
      <c r="G52" s="116" t="str">
        <f t="shared" si="12"/>
        <v>  -   </v>
      </c>
      <c r="H52" s="116" t="str">
        <f t="shared" si="13"/>
        <v>  -   </v>
      </c>
    </row>
    <row r="53" ht="14.25" customHeight="1">
      <c r="A53" s="73" t="str">
        <f t="shared" si="6"/>
        <v>Onion</v>
      </c>
      <c r="B53" s="116" t="str">
        <f t="shared" si="7"/>
        <v>  -   </v>
      </c>
      <c r="C53" s="116" t="str">
        <f t="shared" si="8"/>
        <v>  -   </v>
      </c>
      <c r="D53" s="116" t="str">
        <f t="shared" si="9"/>
        <v>  -   </v>
      </c>
      <c r="E53" s="116" t="str">
        <f t="shared" si="10"/>
        <v>  -   </v>
      </c>
      <c r="F53" s="116" t="str">
        <f t="shared" si="11"/>
        <v>  -   </v>
      </c>
      <c r="G53" s="116" t="str">
        <f t="shared" si="12"/>
        <v>  -   </v>
      </c>
      <c r="H53" s="116" t="str">
        <f t="shared" si="13"/>
        <v>  -   </v>
      </c>
    </row>
    <row r="54" ht="14.25" customHeight="1">
      <c r="A54" s="73" t="str">
        <f t="shared" si="6"/>
        <v>Tomato</v>
      </c>
      <c r="B54" s="116" t="str">
        <f t="shared" si="7"/>
        <v>  -   </v>
      </c>
      <c r="C54" s="116" t="str">
        <f t="shared" si="8"/>
        <v>  -   </v>
      </c>
      <c r="D54" s="116" t="str">
        <f t="shared" si="9"/>
        <v>  -   </v>
      </c>
      <c r="E54" s="116" t="str">
        <f t="shared" si="10"/>
        <v>  -   </v>
      </c>
      <c r="F54" s="116" t="str">
        <f t="shared" si="11"/>
        <v>  -   </v>
      </c>
      <c r="G54" s="116" t="str">
        <f t="shared" si="12"/>
        <v>  -   </v>
      </c>
      <c r="H54" s="116" t="str">
        <f t="shared" si="13"/>
        <v>  -   </v>
      </c>
    </row>
    <row r="55" ht="14.25" customHeight="1">
      <c r="A55" s="73" t="str">
        <f t="shared" si="6"/>
        <v>Okra</v>
      </c>
      <c r="B55" s="116" t="str">
        <f t="shared" si="7"/>
        <v>  -   </v>
      </c>
      <c r="C55" s="116" t="str">
        <f t="shared" si="8"/>
        <v>  -   </v>
      </c>
      <c r="D55" s="116" t="str">
        <f t="shared" si="9"/>
        <v>  -   </v>
      </c>
      <c r="E55" s="116" t="str">
        <f t="shared" si="10"/>
        <v>  -   </v>
      </c>
      <c r="F55" s="116" t="str">
        <f t="shared" si="11"/>
        <v>  -   </v>
      </c>
      <c r="G55" s="116" t="str">
        <f t="shared" si="12"/>
        <v>  -   </v>
      </c>
      <c r="H55" s="116" t="str">
        <f t="shared" si="13"/>
        <v>  -   </v>
      </c>
    </row>
    <row r="56" ht="14.25" customHeight="1">
      <c r="A56" s="73" t="str">
        <f t="shared" si="6"/>
        <v>Chilli</v>
      </c>
      <c r="B56" s="116" t="str">
        <f t="shared" si="7"/>
        <v>  -   </v>
      </c>
      <c r="C56" s="116" t="str">
        <f t="shared" si="8"/>
        <v>  -   </v>
      </c>
      <c r="D56" s="116" t="str">
        <f t="shared" si="9"/>
        <v>  -   </v>
      </c>
      <c r="E56" s="116" t="str">
        <f t="shared" si="10"/>
        <v>  -   </v>
      </c>
      <c r="F56" s="116" t="str">
        <f t="shared" si="11"/>
        <v>  -   </v>
      </c>
      <c r="G56" s="116" t="str">
        <f t="shared" si="12"/>
        <v>  -   </v>
      </c>
      <c r="H56" s="116" t="str">
        <f t="shared" si="13"/>
        <v>  -   </v>
      </c>
    </row>
    <row r="57" ht="14.25" customHeight="1">
      <c r="A57" s="73" t="str">
        <f t="shared" si="6"/>
        <v>Brinjal</v>
      </c>
      <c r="B57" s="116" t="str">
        <f t="shared" si="7"/>
        <v>  -   </v>
      </c>
      <c r="C57" s="116" t="str">
        <f t="shared" si="8"/>
        <v>  -   </v>
      </c>
      <c r="D57" s="116" t="str">
        <f t="shared" si="9"/>
        <v>  -   </v>
      </c>
      <c r="E57" s="116" t="str">
        <f t="shared" si="10"/>
        <v>  -   </v>
      </c>
      <c r="F57" s="116" t="str">
        <f t="shared" si="11"/>
        <v>  -   </v>
      </c>
      <c r="G57" s="116" t="str">
        <f t="shared" si="12"/>
        <v>  -   </v>
      </c>
      <c r="H57" s="116" t="str">
        <f t="shared" si="13"/>
        <v>  -   </v>
      </c>
    </row>
    <row r="58" ht="14.25" customHeight="1">
      <c r="A58" s="73" t="str">
        <f t="shared" si="6"/>
        <v/>
      </c>
      <c r="B58" s="116" t="str">
        <f t="shared" si="7"/>
        <v>  -   </v>
      </c>
      <c r="C58" s="116" t="str">
        <f t="shared" si="8"/>
        <v>  -   </v>
      </c>
      <c r="D58" s="116" t="str">
        <f t="shared" si="9"/>
        <v>  -   </v>
      </c>
      <c r="E58" s="116" t="str">
        <f t="shared" si="10"/>
        <v>  -   </v>
      </c>
      <c r="F58" s="116" t="str">
        <f t="shared" si="11"/>
        <v>  -   </v>
      </c>
      <c r="G58" s="116" t="str">
        <f t="shared" si="12"/>
        <v>  -   </v>
      </c>
      <c r="H58" s="116" t="str">
        <f t="shared" si="13"/>
        <v>  -   </v>
      </c>
    </row>
    <row r="59" ht="14.25" customHeight="1">
      <c r="A59" s="73" t="str">
        <f t="shared" si="6"/>
        <v/>
      </c>
      <c r="B59" s="116" t="str">
        <f t="shared" si="7"/>
        <v>  -   </v>
      </c>
      <c r="C59" s="116" t="str">
        <f t="shared" si="8"/>
        <v>  -   </v>
      </c>
      <c r="D59" s="116" t="str">
        <f t="shared" si="9"/>
        <v>  -   </v>
      </c>
      <c r="E59" s="116" t="str">
        <f t="shared" si="10"/>
        <v>  -   </v>
      </c>
      <c r="F59" s="116" t="str">
        <f t="shared" si="11"/>
        <v>  -   </v>
      </c>
      <c r="G59" s="116" t="str">
        <f t="shared" si="12"/>
        <v>  -   </v>
      </c>
      <c r="H59" s="116" t="str">
        <f t="shared" si="13"/>
        <v>  -   </v>
      </c>
    </row>
    <row r="60" ht="14.25" customHeight="1">
      <c r="A60" s="73" t="str">
        <f t="shared" si="6"/>
        <v/>
      </c>
      <c r="B60" s="116" t="str">
        <f t="shared" si="7"/>
        <v>  -   </v>
      </c>
      <c r="C60" s="116" t="str">
        <f t="shared" si="8"/>
        <v>  -   </v>
      </c>
      <c r="D60" s="116" t="str">
        <f t="shared" si="9"/>
        <v>  -   </v>
      </c>
      <c r="E60" s="116" t="str">
        <f t="shared" si="10"/>
        <v>  -   </v>
      </c>
      <c r="F60" s="116" t="str">
        <f t="shared" si="11"/>
        <v>  -   </v>
      </c>
      <c r="G60" s="116" t="str">
        <f t="shared" si="12"/>
        <v>  -   </v>
      </c>
      <c r="H60" s="116" t="str">
        <f t="shared" si="13"/>
        <v>  -   </v>
      </c>
    </row>
    <row r="61" ht="14.25" customHeight="1">
      <c r="A61" s="73" t="str">
        <f t="shared" si="6"/>
        <v/>
      </c>
      <c r="B61" s="116" t="str">
        <f t="shared" si="7"/>
        <v>  -   </v>
      </c>
      <c r="C61" s="116" t="str">
        <f t="shared" si="8"/>
        <v>  -   </v>
      </c>
      <c r="D61" s="116" t="str">
        <f t="shared" si="9"/>
        <v>  -   </v>
      </c>
      <c r="E61" s="116" t="str">
        <f t="shared" si="10"/>
        <v>  -   </v>
      </c>
      <c r="F61" s="116" t="str">
        <f t="shared" si="11"/>
        <v>  -   </v>
      </c>
      <c r="G61" s="116" t="str">
        <f t="shared" si="12"/>
        <v>  -   </v>
      </c>
      <c r="H61" s="116" t="str">
        <f t="shared" si="13"/>
        <v>  -   </v>
      </c>
    </row>
    <row r="62" ht="14.25" customHeight="1">
      <c r="A62" s="73" t="str">
        <f t="shared" ref="A62:A65" si="15">A34</f>
        <v>Pomegranate</v>
      </c>
      <c r="B62" s="116" t="str">
        <f t="shared" ref="B62:H62" si="14">B34*$B$41</f>
        <v>  -   </v>
      </c>
      <c r="C62" s="116" t="str">
        <f t="shared" si="14"/>
        <v>  -   </v>
      </c>
      <c r="D62" s="116" t="str">
        <f t="shared" si="14"/>
        <v>  -   </v>
      </c>
      <c r="E62" s="116" t="str">
        <f t="shared" si="14"/>
        <v>  -   </v>
      </c>
      <c r="F62" s="116" t="str">
        <f t="shared" si="14"/>
        <v>  -   </v>
      </c>
      <c r="G62" s="116" t="str">
        <f t="shared" si="14"/>
        <v>  -   </v>
      </c>
      <c r="H62" s="116" t="str">
        <f t="shared" si="14"/>
        <v>  -   </v>
      </c>
    </row>
    <row r="63" ht="14.25" customHeight="1">
      <c r="A63" s="73" t="str">
        <f t="shared" si="15"/>
        <v>Custard Apple</v>
      </c>
      <c r="B63" s="116" t="str">
        <f t="shared" ref="B63:H63" si="16">B35*$B$41</f>
        <v>  -   </v>
      </c>
      <c r="C63" s="116" t="str">
        <f t="shared" si="16"/>
        <v>  -   </v>
      </c>
      <c r="D63" s="116" t="str">
        <f t="shared" si="16"/>
        <v>  -   </v>
      </c>
      <c r="E63" s="116" t="str">
        <f t="shared" si="16"/>
        <v>  -   </v>
      </c>
      <c r="F63" s="116" t="str">
        <f t="shared" si="16"/>
        <v>  -   </v>
      </c>
      <c r="G63" s="116" t="str">
        <f t="shared" si="16"/>
        <v>  -   </v>
      </c>
      <c r="H63" s="116" t="str">
        <f t="shared" si="16"/>
        <v>  -   </v>
      </c>
    </row>
    <row r="64" ht="14.25" customHeight="1">
      <c r="A64" s="73" t="str">
        <f t="shared" si="15"/>
        <v>Guava</v>
      </c>
      <c r="B64" s="116" t="str">
        <f t="shared" ref="B64:H64" si="17">B36*$B$41</f>
        <v>  -   </v>
      </c>
      <c r="C64" s="116" t="str">
        <f t="shared" si="17"/>
        <v>  -   </v>
      </c>
      <c r="D64" s="116" t="str">
        <f t="shared" si="17"/>
        <v>  -   </v>
      </c>
      <c r="E64" s="116" t="str">
        <f t="shared" si="17"/>
        <v>  -   </v>
      </c>
      <c r="F64" s="116" t="str">
        <f t="shared" si="17"/>
        <v>  -   </v>
      </c>
      <c r="G64" s="116" t="str">
        <f t="shared" si="17"/>
        <v>  -   </v>
      </c>
      <c r="H64" s="116" t="str">
        <f t="shared" si="17"/>
        <v>  -   </v>
      </c>
    </row>
    <row r="65" ht="14.25" customHeight="1">
      <c r="A65" s="73" t="str">
        <f t="shared" si="15"/>
        <v>Citrus</v>
      </c>
      <c r="B65" s="116" t="str">
        <f t="shared" ref="B65:H65" si="18">B37*$B$41</f>
        <v>  -   </v>
      </c>
      <c r="C65" s="116" t="str">
        <f t="shared" si="18"/>
        <v>  -   </v>
      </c>
      <c r="D65" s="116" t="str">
        <f t="shared" si="18"/>
        <v>  -   </v>
      </c>
      <c r="E65" s="116" t="str">
        <f t="shared" si="18"/>
        <v>  -   </v>
      </c>
      <c r="F65" s="116" t="str">
        <f t="shared" si="18"/>
        <v>  -   </v>
      </c>
      <c r="G65" s="116" t="str">
        <f t="shared" si="18"/>
        <v>  -   </v>
      </c>
      <c r="H65" s="116" t="str">
        <f t="shared" si="18"/>
        <v>  -   </v>
      </c>
    </row>
    <row r="66" ht="14.25" customHeight="1">
      <c r="A66" s="117" t="s">
        <v>668</v>
      </c>
      <c r="B66" s="73"/>
      <c r="C66" s="73"/>
      <c r="D66" s="73"/>
      <c r="E66" s="73"/>
      <c r="F66" s="73"/>
      <c r="G66" s="73"/>
      <c r="H66" s="73"/>
    </row>
    <row r="67" ht="14.25" customHeight="1">
      <c r="A67" s="73" t="str">
        <f>A44</f>
        <v>Onion</v>
      </c>
      <c r="B67" s="366"/>
      <c r="C67" s="366"/>
      <c r="D67" s="366"/>
      <c r="E67" s="366"/>
      <c r="F67" s="366"/>
      <c r="G67" s="366"/>
      <c r="H67" s="366"/>
    </row>
    <row r="68" ht="14.25" customHeight="1">
      <c r="A68" s="73"/>
      <c r="B68" s="366"/>
      <c r="C68" s="366"/>
      <c r="D68" s="366"/>
      <c r="E68" s="366"/>
      <c r="F68" s="366"/>
      <c r="G68" s="366"/>
      <c r="H68" s="366"/>
    </row>
    <row r="69" ht="14.25" customHeight="1">
      <c r="A69" s="73"/>
      <c r="B69" s="366"/>
      <c r="C69" s="366"/>
      <c r="D69" s="366"/>
      <c r="E69" s="366"/>
      <c r="F69" s="366"/>
      <c r="G69" s="366"/>
      <c r="H69" s="366"/>
    </row>
    <row r="70" ht="14.25" customHeight="1">
      <c r="A70" s="73"/>
      <c r="B70" s="366"/>
      <c r="C70" s="366"/>
      <c r="D70" s="366"/>
      <c r="E70" s="366"/>
      <c r="F70" s="366"/>
      <c r="G70" s="366"/>
      <c r="H70" s="366"/>
    </row>
    <row r="71" ht="14.25" customHeight="1">
      <c r="A71" s="73" t="str">
        <f>A45</f>
        <v>Tomato</v>
      </c>
      <c r="B71" s="116"/>
      <c r="C71" s="116"/>
      <c r="D71" s="116"/>
      <c r="E71" s="116"/>
      <c r="F71" s="116"/>
      <c r="G71" s="116"/>
      <c r="H71" s="116"/>
    </row>
    <row r="72" ht="14.25" customHeight="1">
      <c r="A72" s="73"/>
      <c r="B72" s="116"/>
      <c r="C72" s="116"/>
      <c r="D72" s="116"/>
      <c r="E72" s="116"/>
      <c r="F72" s="116"/>
      <c r="G72" s="116"/>
      <c r="H72" s="116"/>
    </row>
    <row r="73" ht="14.25" customHeight="1">
      <c r="A73" s="73"/>
      <c r="B73" s="116"/>
      <c r="C73" s="116"/>
      <c r="D73" s="116"/>
      <c r="E73" s="116"/>
      <c r="F73" s="116"/>
      <c r="G73" s="116"/>
      <c r="H73" s="116"/>
    </row>
    <row r="74" ht="14.25" customHeight="1">
      <c r="A74" s="73"/>
      <c r="B74" s="116"/>
      <c r="C74" s="116"/>
      <c r="D74" s="116"/>
      <c r="E74" s="116"/>
      <c r="F74" s="116"/>
      <c r="G74" s="116"/>
      <c r="H74" s="116"/>
    </row>
    <row r="75" ht="14.25" customHeight="1">
      <c r="A75" s="73" t="str">
        <f>A46</f>
        <v>Okra</v>
      </c>
      <c r="B75" s="116"/>
      <c r="C75" s="116"/>
      <c r="D75" s="116"/>
      <c r="E75" s="116"/>
      <c r="F75" s="116"/>
      <c r="G75" s="116"/>
      <c r="H75" s="116"/>
    </row>
    <row r="76" ht="14.25" customHeight="1">
      <c r="A76" s="73"/>
      <c r="B76" s="116"/>
      <c r="C76" s="116"/>
      <c r="D76" s="116"/>
      <c r="E76" s="116"/>
      <c r="F76" s="116"/>
      <c r="G76" s="116"/>
      <c r="H76" s="116"/>
    </row>
    <row r="77" ht="14.25" customHeight="1">
      <c r="A77" s="73"/>
      <c r="B77" s="116"/>
      <c r="C77" s="116"/>
      <c r="D77" s="116"/>
      <c r="E77" s="116"/>
      <c r="F77" s="116"/>
      <c r="G77" s="116"/>
      <c r="H77" s="116"/>
    </row>
    <row r="78" ht="14.25" customHeight="1">
      <c r="A78" s="73"/>
      <c r="B78" s="116"/>
      <c r="C78" s="116"/>
      <c r="D78" s="116"/>
      <c r="E78" s="116"/>
      <c r="F78" s="116"/>
      <c r="G78" s="116"/>
      <c r="H78" s="116"/>
    </row>
    <row r="79" ht="14.25" customHeight="1">
      <c r="A79" s="73" t="str">
        <f>A47</f>
        <v>Chilli</v>
      </c>
      <c r="B79" s="116"/>
      <c r="C79" s="116"/>
      <c r="D79" s="116"/>
      <c r="E79" s="116"/>
      <c r="F79" s="116"/>
      <c r="G79" s="116"/>
      <c r="H79" s="116"/>
    </row>
    <row r="80" ht="14.25" customHeight="1">
      <c r="A80" s="73"/>
      <c r="B80" s="116"/>
      <c r="C80" s="116"/>
      <c r="D80" s="116"/>
      <c r="E80" s="116"/>
      <c r="F80" s="116"/>
      <c r="G80" s="116"/>
      <c r="H80" s="116"/>
    </row>
    <row r="81" ht="14.25" customHeight="1">
      <c r="A81" s="73"/>
      <c r="B81" s="116"/>
      <c r="C81" s="116"/>
      <c r="D81" s="116"/>
      <c r="E81" s="116"/>
      <c r="F81" s="116"/>
      <c r="G81" s="116"/>
      <c r="H81" s="116"/>
    </row>
    <row r="82" ht="14.25" customHeight="1">
      <c r="A82" s="73"/>
      <c r="B82" s="116"/>
      <c r="C82" s="116"/>
      <c r="D82" s="116"/>
      <c r="E82" s="116"/>
      <c r="F82" s="116"/>
      <c r="G82" s="116"/>
      <c r="H82" s="116"/>
    </row>
    <row r="83" ht="14.25" customHeight="1">
      <c r="A83" s="73" t="str">
        <f>A48</f>
        <v>Potato</v>
      </c>
      <c r="B83" s="116"/>
      <c r="C83" s="116"/>
      <c r="D83" s="116"/>
      <c r="E83" s="116"/>
      <c r="F83" s="116"/>
      <c r="G83" s="116"/>
      <c r="H83" s="116"/>
    </row>
    <row r="84" ht="14.25" customHeight="1">
      <c r="A84" s="73"/>
      <c r="B84" s="116"/>
      <c r="C84" s="116"/>
      <c r="D84" s="116"/>
      <c r="E84" s="116"/>
      <c r="F84" s="116"/>
      <c r="G84" s="116"/>
      <c r="H84" s="116"/>
    </row>
    <row r="85" ht="14.25" customHeight="1">
      <c r="A85" s="73"/>
      <c r="B85" s="116"/>
      <c r="C85" s="116"/>
      <c r="D85" s="116"/>
      <c r="E85" s="116"/>
      <c r="F85" s="116"/>
      <c r="G85" s="116"/>
      <c r="H85" s="116"/>
    </row>
    <row r="86" ht="14.25" customHeight="1">
      <c r="A86" s="73"/>
      <c r="B86" s="116"/>
      <c r="C86" s="116"/>
      <c r="D86" s="116"/>
      <c r="E86" s="116"/>
      <c r="F86" s="116"/>
      <c r="G86" s="116"/>
      <c r="H86" s="116"/>
    </row>
    <row r="87" ht="14.25" customHeight="1">
      <c r="A87" s="73" t="str">
        <f>A49</f>
        <v/>
      </c>
      <c r="B87" s="116"/>
      <c r="C87" s="116"/>
      <c r="D87" s="116"/>
      <c r="E87" s="116"/>
      <c r="F87" s="116"/>
      <c r="G87" s="116"/>
      <c r="H87" s="116"/>
    </row>
    <row r="88" ht="14.25" customHeight="1">
      <c r="A88" s="73"/>
      <c r="B88" s="116"/>
      <c r="C88" s="116"/>
      <c r="D88" s="116"/>
      <c r="E88" s="116"/>
      <c r="F88" s="116"/>
      <c r="G88" s="116"/>
      <c r="H88" s="116"/>
    </row>
    <row r="89" ht="14.25" customHeight="1">
      <c r="A89" s="73"/>
      <c r="B89" s="116"/>
      <c r="C89" s="116"/>
      <c r="D89" s="116"/>
      <c r="E89" s="116"/>
      <c r="F89" s="116"/>
      <c r="G89" s="116"/>
      <c r="H89" s="116"/>
    </row>
    <row r="90" ht="14.25" customHeight="1">
      <c r="A90" s="73"/>
      <c r="B90" s="116"/>
      <c r="C90" s="116"/>
      <c r="D90" s="116"/>
      <c r="E90" s="116"/>
      <c r="F90" s="116"/>
      <c r="G90" s="116"/>
      <c r="H90" s="116"/>
    </row>
    <row r="91" ht="14.25" customHeight="1">
      <c r="A91" s="73" t="str">
        <f>A50</f>
        <v/>
      </c>
      <c r="B91" s="116"/>
      <c r="C91" s="116"/>
      <c r="D91" s="116"/>
      <c r="E91" s="116"/>
      <c r="F91" s="116"/>
      <c r="G91" s="116"/>
      <c r="H91" s="116"/>
    </row>
    <row r="92" ht="14.25" customHeight="1">
      <c r="A92" s="73"/>
      <c r="B92" s="116"/>
      <c r="C92" s="116"/>
      <c r="D92" s="116"/>
      <c r="E92" s="116"/>
      <c r="F92" s="116"/>
      <c r="G92" s="116"/>
      <c r="H92" s="116"/>
    </row>
    <row r="93" ht="14.25" customHeight="1">
      <c r="A93" s="73"/>
      <c r="B93" s="116"/>
      <c r="C93" s="116"/>
      <c r="D93" s="116"/>
      <c r="E93" s="116"/>
      <c r="F93" s="116"/>
      <c r="G93" s="116"/>
      <c r="H93" s="116"/>
    </row>
    <row r="94" ht="14.25" customHeight="1">
      <c r="A94" s="73" t="str">
        <f>A51</f>
        <v/>
      </c>
      <c r="B94" s="116"/>
      <c r="C94" s="116"/>
      <c r="D94" s="116"/>
      <c r="E94" s="116"/>
      <c r="F94" s="116"/>
      <c r="G94" s="116"/>
      <c r="H94" s="116"/>
    </row>
    <row r="95" ht="14.25" customHeight="1">
      <c r="A95" s="73"/>
      <c r="B95" s="116"/>
      <c r="C95" s="116"/>
      <c r="D95" s="116"/>
      <c r="E95" s="116"/>
      <c r="F95" s="116"/>
      <c r="G95" s="116"/>
      <c r="H95" s="116"/>
    </row>
    <row r="96" ht="14.25" customHeight="1">
      <c r="A96" s="73"/>
      <c r="B96" s="116"/>
      <c r="C96" s="116"/>
      <c r="D96" s="116"/>
      <c r="E96" s="116"/>
      <c r="F96" s="116"/>
      <c r="G96" s="116"/>
      <c r="H96" s="116"/>
    </row>
    <row r="97" ht="14.25" customHeight="1">
      <c r="A97" s="73"/>
      <c r="B97" s="116"/>
      <c r="C97" s="116"/>
      <c r="D97" s="116"/>
      <c r="E97" s="116"/>
      <c r="F97" s="116"/>
      <c r="G97" s="116"/>
      <c r="H97" s="116"/>
    </row>
    <row r="98" ht="14.25" customHeight="1">
      <c r="A98" s="73" t="str">
        <f>A52</f>
        <v/>
      </c>
      <c r="B98" s="116"/>
      <c r="C98" s="116"/>
      <c r="D98" s="116"/>
      <c r="E98" s="116"/>
      <c r="F98" s="116"/>
      <c r="G98" s="116"/>
      <c r="H98" s="116"/>
    </row>
    <row r="99" ht="14.25" customHeight="1">
      <c r="A99" s="73"/>
      <c r="B99" s="116"/>
      <c r="C99" s="116"/>
      <c r="D99" s="116"/>
      <c r="E99" s="116"/>
      <c r="F99" s="116"/>
      <c r="G99" s="116"/>
      <c r="H99" s="116"/>
    </row>
    <row r="100" ht="14.25" customHeight="1">
      <c r="A100" s="73"/>
      <c r="B100" s="116"/>
      <c r="C100" s="116"/>
      <c r="D100" s="116"/>
      <c r="E100" s="116"/>
      <c r="F100" s="116"/>
      <c r="G100" s="116"/>
      <c r="H100" s="116"/>
    </row>
    <row r="101" ht="14.25" customHeight="1">
      <c r="A101" s="73"/>
      <c r="B101" s="116"/>
      <c r="C101" s="116"/>
      <c r="D101" s="116"/>
      <c r="E101" s="116"/>
      <c r="F101" s="116"/>
      <c r="G101" s="116"/>
      <c r="H101" s="116"/>
    </row>
    <row r="102" ht="14.25" customHeight="1">
      <c r="A102" s="73" t="str">
        <f>A53</f>
        <v>Onion</v>
      </c>
      <c r="B102" s="116"/>
      <c r="C102" s="116"/>
      <c r="D102" s="116"/>
      <c r="E102" s="116"/>
      <c r="F102" s="116"/>
      <c r="G102" s="116"/>
      <c r="H102" s="116"/>
    </row>
    <row r="103" ht="14.25" customHeight="1">
      <c r="A103" s="73"/>
      <c r="B103" s="116"/>
      <c r="C103" s="116"/>
      <c r="D103" s="116"/>
      <c r="E103" s="116"/>
      <c r="F103" s="116"/>
      <c r="G103" s="116"/>
      <c r="H103" s="116"/>
    </row>
    <row r="104" ht="14.25" customHeight="1">
      <c r="A104" s="73"/>
      <c r="B104" s="116"/>
      <c r="C104" s="116"/>
      <c r="D104" s="116"/>
      <c r="E104" s="116"/>
      <c r="F104" s="116"/>
      <c r="G104" s="116"/>
      <c r="H104" s="116"/>
    </row>
    <row r="105" ht="14.25" customHeight="1">
      <c r="A105" s="73"/>
      <c r="B105" s="116"/>
      <c r="C105" s="116"/>
      <c r="D105" s="116"/>
      <c r="E105" s="116"/>
      <c r="F105" s="116"/>
      <c r="G105" s="116"/>
      <c r="H105" s="116"/>
    </row>
    <row r="106" ht="14.25" customHeight="1">
      <c r="A106" s="73" t="str">
        <f>A54</f>
        <v>Tomato</v>
      </c>
      <c r="B106" s="116"/>
      <c r="C106" s="116"/>
      <c r="D106" s="116"/>
      <c r="E106" s="116"/>
      <c r="F106" s="116"/>
      <c r="G106" s="116"/>
      <c r="H106" s="116"/>
    </row>
    <row r="107" ht="14.25" customHeight="1">
      <c r="A107" s="73"/>
      <c r="B107" s="116"/>
      <c r="C107" s="116"/>
      <c r="D107" s="116"/>
      <c r="E107" s="116"/>
      <c r="F107" s="116"/>
      <c r="G107" s="116"/>
      <c r="H107" s="116"/>
    </row>
    <row r="108" ht="14.25" customHeight="1">
      <c r="A108" s="73"/>
      <c r="B108" s="116"/>
      <c r="C108" s="116"/>
      <c r="D108" s="116"/>
      <c r="E108" s="116"/>
      <c r="F108" s="116"/>
      <c r="G108" s="116"/>
      <c r="H108" s="116"/>
    </row>
    <row r="109" ht="14.25" customHeight="1">
      <c r="A109" s="73"/>
      <c r="B109" s="116"/>
      <c r="C109" s="116"/>
      <c r="D109" s="116"/>
      <c r="E109" s="116"/>
      <c r="F109" s="116"/>
      <c r="G109" s="116"/>
      <c r="H109" s="116"/>
    </row>
    <row r="110" ht="14.25" customHeight="1">
      <c r="A110" s="73" t="str">
        <f>A55</f>
        <v>Okra</v>
      </c>
      <c r="B110" s="116"/>
      <c r="C110" s="116"/>
      <c r="D110" s="116"/>
      <c r="E110" s="116"/>
      <c r="F110" s="116"/>
      <c r="G110" s="116"/>
      <c r="H110" s="116"/>
    </row>
    <row r="111" ht="14.25" customHeight="1">
      <c r="A111" s="73"/>
      <c r="B111" s="116"/>
      <c r="C111" s="116"/>
      <c r="D111" s="116"/>
      <c r="E111" s="116"/>
      <c r="F111" s="116"/>
      <c r="G111" s="116"/>
      <c r="H111" s="116"/>
    </row>
    <row r="112" ht="14.25" customHeight="1">
      <c r="A112" s="73"/>
      <c r="B112" s="116"/>
      <c r="C112" s="116"/>
      <c r="D112" s="116"/>
      <c r="E112" s="116"/>
      <c r="F112" s="116"/>
      <c r="G112" s="116"/>
      <c r="H112" s="116"/>
    </row>
    <row r="113" ht="14.25" customHeight="1">
      <c r="A113" s="73"/>
      <c r="B113" s="116"/>
      <c r="C113" s="116"/>
      <c r="D113" s="116"/>
      <c r="E113" s="116"/>
      <c r="F113" s="116"/>
      <c r="G113" s="116"/>
      <c r="H113" s="116"/>
    </row>
    <row r="114" ht="14.25" customHeight="1">
      <c r="A114" s="73" t="str">
        <f>A56</f>
        <v>Chilli</v>
      </c>
      <c r="B114" s="116"/>
      <c r="C114" s="116"/>
      <c r="D114" s="116"/>
      <c r="E114" s="116"/>
      <c r="F114" s="116"/>
      <c r="G114" s="116"/>
      <c r="H114" s="116"/>
    </row>
    <row r="115" ht="14.25" customHeight="1">
      <c r="A115" s="73"/>
      <c r="B115" s="116"/>
      <c r="C115" s="116"/>
      <c r="D115" s="116"/>
      <c r="E115" s="116"/>
      <c r="F115" s="116"/>
      <c r="G115" s="116"/>
      <c r="H115" s="116"/>
    </row>
    <row r="116" ht="14.25" customHeight="1">
      <c r="A116" s="73"/>
      <c r="B116" s="116"/>
      <c r="C116" s="116"/>
      <c r="D116" s="116"/>
      <c r="E116" s="116"/>
      <c r="F116" s="116"/>
      <c r="G116" s="116"/>
      <c r="H116" s="116"/>
    </row>
    <row r="117" ht="14.25" customHeight="1">
      <c r="A117" s="73"/>
      <c r="B117" s="116"/>
      <c r="C117" s="116"/>
      <c r="D117" s="116"/>
      <c r="E117" s="116"/>
      <c r="F117" s="116"/>
      <c r="G117" s="116"/>
      <c r="H117" s="116"/>
    </row>
    <row r="118" ht="14.25" customHeight="1">
      <c r="A118" s="117" t="str">
        <f t="shared" ref="A118:A123" si="19">A57</f>
        <v>Brinjal</v>
      </c>
      <c r="B118" s="116"/>
      <c r="C118" s="116"/>
      <c r="D118" s="116"/>
      <c r="E118" s="116"/>
      <c r="F118" s="116"/>
      <c r="G118" s="116"/>
      <c r="H118" s="116"/>
    </row>
    <row r="119" ht="14.25" customHeight="1">
      <c r="A119" s="73" t="str">
        <f t="shared" si="19"/>
        <v/>
      </c>
      <c r="B119" s="116"/>
      <c r="C119" s="116"/>
      <c r="D119" s="116"/>
      <c r="E119" s="116"/>
      <c r="F119" s="116"/>
      <c r="G119" s="116"/>
      <c r="H119" s="116"/>
    </row>
    <row r="120" ht="14.25" customHeight="1">
      <c r="A120" s="73" t="str">
        <f t="shared" si="19"/>
        <v/>
      </c>
      <c r="B120" s="116"/>
      <c r="C120" s="116"/>
      <c r="D120" s="116"/>
      <c r="E120" s="116"/>
      <c r="F120" s="116"/>
      <c r="G120" s="116"/>
      <c r="H120" s="116"/>
    </row>
    <row r="121" ht="14.25" customHeight="1">
      <c r="A121" s="73" t="str">
        <f t="shared" si="19"/>
        <v/>
      </c>
      <c r="B121" s="116"/>
      <c r="C121" s="116"/>
      <c r="D121" s="116"/>
      <c r="E121" s="116"/>
      <c r="F121" s="116"/>
      <c r="G121" s="116"/>
      <c r="H121" s="116"/>
    </row>
    <row r="122" ht="14.25" customHeight="1">
      <c r="A122" s="73" t="str">
        <f t="shared" si="19"/>
        <v/>
      </c>
      <c r="B122" s="116"/>
      <c r="C122" s="116"/>
      <c r="D122" s="116"/>
      <c r="E122" s="116"/>
      <c r="F122" s="116"/>
      <c r="G122" s="116"/>
      <c r="H122" s="116"/>
    </row>
    <row r="123" ht="14.25" customHeight="1">
      <c r="A123" s="117" t="str">
        <f t="shared" si="19"/>
        <v>Pomegranate</v>
      </c>
      <c r="B123" s="116"/>
      <c r="C123" s="116"/>
      <c r="D123" s="116"/>
      <c r="E123" s="116"/>
      <c r="F123" s="116"/>
      <c r="G123" s="116"/>
      <c r="H123" s="116"/>
    </row>
    <row r="124" ht="14.25" customHeight="1">
      <c r="A124" s="73" t="s">
        <v>760</v>
      </c>
      <c r="B124" s="116" t="str">
        <f t="shared" ref="B124:H124" si="20">(B$62*50%)*0.7</f>
        <v>  -   </v>
      </c>
      <c r="C124" s="116" t="str">
        <f t="shared" si="20"/>
        <v>  -   </v>
      </c>
      <c r="D124" s="116" t="str">
        <f t="shared" si="20"/>
        <v>  -   </v>
      </c>
      <c r="E124" s="116" t="str">
        <f t="shared" si="20"/>
        <v>  -   </v>
      </c>
      <c r="F124" s="116" t="str">
        <f t="shared" si="20"/>
        <v>  -   </v>
      </c>
      <c r="G124" s="116" t="str">
        <f t="shared" si="20"/>
        <v>  -   </v>
      </c>
      <c r="H124" s="116" t="str">
        <f t="shared" si="20"/>
        <v>  -   </v>
      </c>
    </row>
    <row r="125" ht="14.25" customHeight="1">
      <c r="A125" s="73" t="s">
        <v>761</v>
      </c>
      <c r="B125" s="116" t="str">
        <f>(B$62*50%)*0.7*2</f>
        <v>  -   </v>
      </c>
      <c r="C125" s="116" t="str">
        <f t="shared" ref="C125:H125" si="21">(C$62*50%)*0.7</f>
        <v>  -   </v>
      </c>
      <c r="D125" s="116" t="str">
        <f t="shared" si="21"/>
        <v>  -   </v>
      </c>
      <c r="E125" s="116" t="str">
        <f t="shared" si="21"/>
        <v>  -   </v>
      </c>
      <c r="F125" s="116" t="str">
        <f t="shared" si="21"/>
        <v>  -   </v>
      </c>
      <c r="G125" s="116" t="str">
        <f t="shared" si="21"/>
        <v>  -   </v>
      </c>
      <c r="H125" s="116" t="str">
        <f t="shared" si="21"/>
        <v>  -   </v>
      </c>
    </row>
    <row r="126" ht="14.25" customHeight="1">
      <c r="A126" s="73" t="s">
        <v>762</v>
      </c>
      <c r="B126" s="116" t="str">
        <f>(B$62*0.3)*0.2</f>
        <v>  -   </v>
      </c>
      <c r="C126" s="116" t="str">
        <f t="shared" ref="C126:H126" si="22">(C$62*50%)*0.7</f>
        <v>  -   </v>
      </c>
      <c r="D126" s="116" t="str">
        <f t="shared" si="22"/>
        <v>  -   </v>
      </c>
      <c r="E126" s="116" t="str">
        <f t="shared" si="22"/>
        <v>  -   </v>
      </c>
      <c r="F126" s="116" t="str">
        <f t="shared" si="22"/>
        <v>  -   </v>
      </c>
      <c r="G126" s="116" t="str">
        <f t="shared" si="22"/>
        <v>  -   </v>
      </c>
      <c r="H126" s="116" t="str">
        <f t="shared" si="22"/>
        <v>  -   </v>
      </c>
    </row>
    <row r="127" ht="14.25" customHeight="1">
      <c r="A127" s="73" t="str">
        <f>A63</f>
        <v>Custard Apple</v>
      </c>
      <c r="B127" s="116"/>
      <c r="C127" s="116"/>
      <c r="D127" s="116"/>
      <c r="E127" s="116"/>
      <c r="F127" s="116"/>
      <c r="G127" s="116"/>
      <c r="H127" s="116"/>
    </row>
    <row r="128" ht="14.25" customHeight="1">
      <c r="A128" s="73"/>
      <c r="B128" s="116"/>
      <c r="C128" s="116"/>
      <c r="D128" s="116"/>
      <c r="E128" s="116"/>
      <c r="F128" s="116"/>
      <c r="G128" s="116"/>
      <c r="H128" s="116"/>
    </row>
    <row r="129" ht="14.25" customHeight="1">
      <c r="A129" s="73"/>
      <c r="B129" s="116"/>
      <c r="C129" s="116"/>
      <c r="D129" s="116"/>
      <c r="E129" s="116"/>
      <c r="F129" s="116"/>
      <c r="G129" s="116"/>
      <c r="H129" s="116"/>
    </row>
    <row r="130" ht="14.25" customHeight="1">
      <c r="A130" s="73"/>
      <c r="B130" s="116"/>
      <c r="C130" s="116"/>
      <c r="D130" s="116"/>
      <c r="E130" s="116"/>
      <c r="F130" s="116"/>
      <c r="G130" s="116"/>
      <c r="H130" s="116"/>
    </row>
    <row r="131" ht="14.25" customHeight="1">
      <c r="A131" s="73" t="str">
        <f>A64</f>
        <v>Guava</v>
      </c>
      <c r="B131" s="116"/>
      <c r="C131" s="116"/>
      <c r="D131" s="116"/>
      <c r="E131" s="116"/>
      <c r="F131" s="116"/>
      <c r="G131" s="116"/>
      <c r="H131" s="116"/>
    </row>
    <row r="132" ht="14.25" customHeight="1">
      <c r="A132" s="73"/>
      <c r="B132" s="116"/>
      <c r="C132" s="116"/>
      <c r="D132" s="116"/>
      <c r="E132" s="116"/>
      <c r="F132" s="116"/>
      <c r="G132" s="116"/>
      <c r="H132" s="116"/>
    </row>
    <row r="133" ht="14.25" customHeight="1">
      <c r="A133" s="73"/>
      <c r="B133" s="116"/>
      <c r="C133" s="116"/>
      <c r="D133" s="116"/>
      <c r="E133" s="116"/>
      <c r="F133" s="116"/>
      <c r="G133" s="116"/>
      <c r="H133" s="116"/>
    </row>
    <row r="134" ht="14.25" customHeight="1">
      <c r="A134" s="73"/>
      <c r="B134" s="116"/>
      <c r="C134" s="116"/>
      <c r="D134" s="116"/>
      <c r="E134" s="116"/>
      <c r="F134" s="116"/>
      <c r="G134" s="116"/>
      <c r="H134" s="116"/>
    </row>
    <row r="135" ht="14.25" customHeight="1">
      <c r="A135" s="73" t="str">
        <f>A65</f>
        <v>Citrus</v>
      </c>
      <c r="B135" s="116"/>
      <c r="C135" s="116"/>
      <c r="D135" s="116"/>
      <c r="E135" s="116"/>
      <c r="F135" s="116"/>
      <c r="G135" s="116"/>
      <c r="H135" s="116"/>
    </row>
    <row r="136" ht="14.25" customHeight="1">
      <c r="A136" s="73"/>
      <c r="B136" s="116"/>
      <c r="C136" s="116"/>
      <c r="D136" s="116"/>
      <c r="E136" s="116"/>
      <c r="F136" s="116"/>
      <c r="G136" s="116"/>
      <c r="H136" s="116"/>
    </row>
    <row r="137" ht="14.25" customHeight="1">
      <c r="A137" s="73"/>
      <c r="B137" s="116"/>
      <c r="C137" s="116"/>
      <c r="D137" s="116"/>
      <c r="E137" s="116"/>
      <c r="F137" s="116"/>
      <c r="G137" s="116"/>
      <c r="H137" s="116"/>
    </row>
    <row r="138" ht="14.25" customHeight="1">
      <c r="A138" s="73"/>
      <c r="B138" s="116"/>
      <c r="C138" s="116"/>
      <c r="D138" s="116"/>
      <c r="E138" s="116"/>
      <c r="F138" s="116"/>
      <c r="G138" s="116"/>
      <c r="H138" s="116"/>
    </row>
    <row r="139" ht="14.25" customHeight="1">
      <c r="A139" s="111"/>
      <c r="B139" s="187"/>
      <c r="C139" s="187"/>
      <c r="D139" s="187"/>
      <c r="E139" s="187"/>
      <c r="F139" s="187"/>
      <c r="G139" s="187"/>
      <c r="H139" s="187"/>
    </row>
    <row r="140" ht="14.25" customHeight="1">
      <c r="A140" s="111" t="s">
        <v>671</v>
      </c>
    </row>
    <row r="141" ht="14.25" customHeight="1">
      <c r="A141" t="s">
        <v>763</v>
      </c>
      <c r="B141" s="37" t="str">
        <f t="shared" ref="B141:H141" si="23">(B124*100)</f>
        <v>  -   </v>
      </c>
      <c r="C141" s="37" t="str">
        <f t="shared" si="23"/>
        <v>  -   </v>
      </c>
      <c r="D141" s="37" t="str">
        <f t="shared" si="23"/>
        <v>  -   </v>
      </c>
      <c r="E141" s="37" t="str">
        <f t="shared" si="23"/>
        <v>  -   </v>
      </c>
      <c r="F141" s="37" t="str">
        <f t="shared" si="23"/>
        <v>  -   </v>
      </c>
      <c r="G141" s="37" t="str">
        <f t="shared" si="23"/>
        <v>  -   </v>
      </c>
      <c r="H141" s="37" t="str">
        <f t="shared" si="23"/>
        <v>  -   </v>
      </c>
    </row>
    <row r="142" ht="14.25" customHeight="1">
      <c r="A142" t="s">
        <v>764</v>
      </c>
      <c r="B142" s="37" t="str">
        <f t="shared" ref="B142:H142" si="24">(B125*100)</f>
        <v>  -   </v>
      </c>
      <c r="C142" s="37" t="str">
        <f t="shared" si="24"/>
        <v>  -   </v>
      </c>
      <c r="D142" s="37" t="str">
        <f t="shared" si="24"/>
        <v>  -   </v>
      </c>
      <c r="E142" s="37" t="str">
        <f t="shared" si="24"/>
        <v>  -   </v>
      </c>
      <c r="F142" s="37" t="str">
        <f t="shared" si="24"/>
        <v>  -   </v>
      </c>
      <c r="G142" s="37" t="str">
        <f t="shared" si="24"/>
        <v>  -   </v>
      </c>
      <c r="H142" s="37" t="str">
        <f t="shared" si="24"/>
        <v>  -   </v>
      </c>
    </row>
    <row r="143" ht="14.25" customHeight="1">
      <c r="A143" t="s">
        <v>765</v>
      </c>
      <c r="B143" s="37" t="str">
        <f t="shared" ref="B143:H143" si="25">(B126*100)</f>
        <v>  -   </v>
      </c>
      <c r="C143" s="37" t="str">
        <f t="shared" si="25"/>
        <v>  -   </v>
      </c>
      <c r="D143" s="37" t="str">
        <f t="shared" si="25"/>
        <v>  -   </v>
      </c>
      <c r="E143" s="37" t="str">
        <f t="shared" si="25"/>
        <v>  -   </v>
      </c>
      <c r="F143" s="37" t="str">
        <f t="shared" si="25"/>
        <v>  -   </v>
      </c>
      <c r="G143" s="37" t="str">
        <f t="shared" si="25"/>
        <v>  -   </v>
      </c>
      <c r="H143" s="37" t="str">
        <f t="shared" si="25"/>
        <v>  -   </v>
      </c>
    </row>
    <row r="144" ht="14.25" customHeight="1"/>
    <row r="145" ht="14.25" customHeight="1">
      <c r="B145" s="37"/>
      <c r="C145" s="37"/>
    </row>
    <row r="146" ht="14.25" customHeight="1">
      <c r="B146" s="37"/>
      <c r="C146" s="37"/>
      <c r="D146" s="37"/>
    </row>
    <row r="147" ht="14.25" customHeight="1">
      <c r="A147" s="25" t="s">
        <v>766</v>
      </c>
    </row>
    <row r="148" ht="14.25" customHeight="1">
      <c r="A148" s="24"/>
      <c r="B148" s="24"/>
      <c r="C148" s="24"/>
      <c r="D148" s="24"/>
      <c r="E148" s="24"/>
      <c r="F148" s="24"/>
      <c r="G148" s="24"/>
      <c r="H148" s="24"/>
    </row>
    <row r="149" ht="14.25" customHeight="1">
      <c r="A149" s="367"/>
      <c r="B149" s="367"/>
      <c r="C149" s="367"/>
      <c r="D149" s="368">
        <v>1.0</v>
      </c>
      <c r="E149" s="369" t="str">
        <f t="shared" ref="E149:J149" si="26">(D149*5%)+D149</f>
        <v>105.00%</v>
      </c>
      <c r="F149" s="369" t="str">
        <f t="shared" si="26"/>
        <v>110.25%</v>
      </c>
      <c r="G149" s="369" t="str">
        <f t="shared" si="26"/>
        <v>115.76%</v>
      </c>
      <c r="H149" s="369" t="str">
        <f t="shared" si="26"/>
        <v>121.55%</v>
      </c>
      <c r="I149" s="369" t="str">
        <f t="shared" si="26"/>
        <v>127.63%</v>
      </c>
      <c r="J149" s="369" t="str">
        <f t="shared" si="26"/>
        <v>134.01%</v>
      </c>
    </row>
    <row r="150" ht="14.25" customHeight="1">
      <c r="A150" s="111"/>
      <c r="B150" s="111"/>
      <c r="C150" s="111"/>
      <c r="D150" s="111"/>
      <c r="E150" s="111"/>
      <c r="F150" s="111"/>
      <c r="G150" s="111"/>
      <c r="H150" s="111"/>
      <c r="I150" s="111"/>
      <c r="J150" s="111"/>
    </row>
    <row r="151" ht="14.25" customHeight="1">
      <c r="A151" s="114" t="s">
        <v>190</v>
      </c>
      <c r="B151" s="114" t="s">
        <v>121</v>
      </c>
      <c r="C151" s="114" t="s">
        <v>135</v>
      </c>
      <c r="D151" s="115" t="s">
        <v>193</v>
      </c>
      <c r="E151" s="115" t="s">
        <v>194</v>
      </c>
      <c r="F151" s="115" t="s">
        <v>195</v>
      </c>
      <c r="G151" s="115" t="s">
        <v>196</v>
      </c>
      <c r="H151" s="115" t="s">
        <v>197</v>
      </c>
      <c r="I151" s="115" t="s">
        <v>198</v>
      </c>
      <c r="J151" s="115" t="s">
        <v>199</v>
      </c>
    </row>
    <row r="152" ht="14.25" customHeight="1">
      <c r="A152" s="73"/>
      <c r="B152" s="73"/>
      <c r="C152" s="73"/>
      <c r="D152" s="73"/>
      <c r="E152" s="73"/>
      <c r="F152" s="73"/>
      <c r="G152" s="73"/>
      <c r="H152" s="73"/>
      <c r="I152" s="73"/>
      <c r="J152" s="73"/>
    </row>
    <row r="153" ht="14.25" customHeight="1">
      <c r="A153" s="117" t="s">
        <v>404</v>
      </c>
      <c r="B153" s="117"/>
      <c r="C153" s="117"/>
      <c r="D153" s="202"/>
      <c r="E153" s="202"/>
      <c r="F153" s="202"/>
      <c r="G153" s="202"/>
      <c r="H153" s="202"/>
      <c r="I153" s="73"/>
      <c r="J153" s="73"/>
    </row>
    <row r="154" ht="14.25" customHeight="1">
      <c r="A154" s="73" t="str">
        <f t="shared" ref="A154:A156" si="27">A124</f>
        <v>Pomegranate Arils</v>
      </c>
      <c r="B154" s="75" t="s">
        <v>767</v>
      </c>
      <c r="C154" s="75">
        <v>200.0</v>
      </c>
      <c r="D154" s="116" t="str">
        <f>(B141*(1-'5.Closing Stock &amp; W Capital'!$D$18)*$C154*D$149)</f>
        <v>  -   </v>
      </c>
      <c r="E154" s="116" t="str">
        <f>(((C141*(1-'5.Closing Stock &amp; W Capital'!$D$18))+(B141*'5.Closing Stock &amp; W Capital'!$D$18))*$C154*E$149)</f>
        <v>  -   </v>
      </c>
      <c r="F154" s="116" t="str">
        <f>(((D141*(1-'5.Closing Stock &amp; W Capital'!$D$18))+(C141*'5.Closing Stock &amp; W Capital'!$D$18))*$C154*F$149)</f>
        <v>  -   </v>
      </c>
      <c r="G154" s="116" t="str">
        <f>(((E141*(1-'5.Closing Stock &amp; W Capital'!$D$18))+(D141*'5.Closing Stock &amp; W Capital'!$D$18))*$C154*G$149)</f>
        <v>  -   </v>
      </c>
      <c r="H154" s="116" t="str">
        <f>(((F141*(1-'5.Closing Stock &amp; W Capital'!$D$18))+(E141*'5.Closing Stock &amp; W Capital'!$D$18))*$C154*H$149)</f>
        <v>  -   </v>
      </c>
      <c r="I154" s="116" t="str">
        <f>(((G141*(1-'5.Closing Stock &amp; W Capital'!$D$18))+(F141*'5.Closing Stock &amp; W Capital'!$D$18))*$C154*I$149)</f>
        <v>  -   </v>
      </c>
      <c r="J154" s="116" t="str">
        <f>(((H141*(1-'5.Closing Stock &amp; W Capital'!$D$18))+(G141*'5.Closing Stock &amp; W Capital'!$D$18))*$C154*J$149)</f>
        <v>  -   </v>
      </c>
    </row>
    <row r="155" ht="14.25" customHeight="1">
      <c r="A155" s="73" t="str">
        <f t="shared" si="27"/>
        <v>Pomegranate Juice</v>
      </c>
      <c r="B155" s="75" t="s">
        <v>768</v>
      </c>
      <c r="C155" s="75">
        <v>50.0</v>
      </c>
      <c r="D155" s="116" t="str">
        <f>(B142*(1-'5.Closing Stock &amp; W Capital'!$D$18)*$C155*D$149)</f>
        <v>  -   </v>
      </c>
      <c r="E155" s="116" t="str">
        <f>(((C142*(1-'5.Closing Stock &amp; W Capital'!$D$18))+(B142*'5.Closing Stock &amp; W Capital'!$D$18))*$C155*E$149)</f>
        <v>  -   </v>
      </c>
      <c r="F155" s="116" t="str">
        <f>(((D142*(1-'5.Closing Stock &amp; W Capital'!$D$18))+(C142*'5.Closing Stock &amp; W Capital'!$D$18))*$C155*F$149)</f>
        <v>  -   </v>
      </c>
      <c r="G155" s="116" t="str">
        <f>(((E142*(1-'5.Closing Stock &amp; W Capital'!$D$18))+(D142*'5.Closing Stock &amp; W Capital'!$D$18))*$C155*G$149)</f>
        <v>  -   </v>
      </c>
      <c r="H155" s="116" t="str">
        <f>(((F142*(1-'5.Closing Stock &amp; W Capital'!$D$18))+(E142*'5.Closing Stock &amp; W Capital'!$D$18))*$C155*H$149)</f>
        <v>  -   </v>
      </c>
      <c r="I155" s="116" t="str">
        <f>(((G142*(1-'5.Closing Stock &amp; W Capital'!$D$18))+(F142*'5.Closing Stock &amp; W Capital'!$D$18))*$C155*I$149)</f>
        <v>  -   </v>
      </c>
      <c r="J155" s="116" t="str">
        <f>(((H142*(1-'5.Closing Stock &amp; W Capital'!$D$18))+(G142*'5.Closing Stock &amp; W Capital'!$D$18))*$C155*J$149)</f>
        <v>  -   </v>
      </c>
    </row>
    <row r="156" ht="14.25" customHeight="1">
      <c r="A156" s="73" t="str">
        <f t="shared" si="27"/>
        <v>Pomegranate Powder</v>
      </c>
      <c r="B156" s="75" t="s">
        <v>769</v>
      </c>
      <c r="C156" s="75">
        <v>50.0</v>
      </c>
      <c r="D156" s="116" t="str">
        <f>(B143*(1-'5.Closing Stock &amp; W Capital'!$D$18)*$C156*D$149)</f>
        <v>  -   </v>
      </c>
      <c r="E156" s="116" t="str">
        <f>(((C143*(1-'5.Closing Stock &amp; W Capital'!$D$18))+(B143*'5.Closing Stock &amp; W Capital'!$D$18))*$C156*E$149)</f>
        <v>  -   </v>
      </c>
      <c r="F156" s="116" t="str">
        <f>(((D143*(1-'5.Closing Stock &amp; W Capital'!$D$18))+(C143*'5.Closing Stock &amp; W Capital'!$D$18))*$C156*F$149)</f>
        <v>  -   </v>
      </c>
      <c r="G156" s="116" t="str">
        <f>(((E143*(1-'5.Closing Stock &amp; W Capital'!$D$18))+(D143*'5.Closing Stock &amp; W Capital'!$D$18))*$C156*G$149)</f>
        <v>  -   </v>
      </c>
      <c r="H156" s="116" t="str">
        <f>(((F143*(1-'5.Closing Stock &amp; W Capital'!$D$18))+(E143*'5.Closing Stock &amp; W Capital'!$D$18))*$C156*H$149)</f>
        <v>  -   </v>
      </c>
      <c r="I156" s="116" t="str">
        <f>(((G143*(1-'5.Closing Stock &amp; W Capital'!$D$18))+(F143*'5.Closing Stock &amp; W Capital'!$D$18))*$C156*I$149)</f>
        <v>  -   </v>
      </c>
      <c r="J156" s="116" t="str">
        <f>(((H143*(1-'5.Closing Stock &amp; W Capital'!$D$18))+(G143*'5.Closing Stock &amp; W Capital'!$D$18))*$C156*J$149)</f>
        <v>  -   </v>
      </c>
    </row>
    <row r="157" ht="14.25" customHeight="1">
      <c r="A157" s="73"/>
      <c r="B157" s="75"/>
      <c r="C157" s="75"/>
      <c r="D157" s="116"/>
      <c r="E157" s="116"/>
      <c r="F157" s="116"/>
      <c r="G157" s="116"/>
      <c r="H157" s="116"/>
      <c r="I157" s="116"/>
      <c r="J157" s="116"/>
    </row>
    <row r="158" ht="14.25" customHeight="1">
      <c r="A158" s="73"/>
      <c r="B158" s="73"/>
      <c r="C158" s="73"/>
      <c r="D158" s="116"/>
      <c r="E158" s="116"/>
      <c r="F158" s="116"/>
      <c r="G158" s="116"/>
      <c r="H158" s="116"/>
      <c r="I158" s="116"/>
      <c r="J158" s="116"/>
    </row>
    <row r="159" ht="14.25" customHeight="1">
      <c r="A159" s="117" t="s">
        <v>404</v>
      </c>
      <c r="B159" s="117"/>
      <c r="C159" s="117"/>
      <c r="D159" s="118" t="str">
        <f t="shared" ref="D159:J159" si="28">SUM(D154:D158)</f>
        <v>  -   </v>
      </c>
      <c r="E159" s="118" t="str">
        <f t="shared" si="28"/>
        <v>  -   </v>
      </c>
      <c r="F159" s="118" t="str">
        <f t="shared" si="28"/>
        <v>  -   </v>
      </c>
      <c r="G159" s="118" t="str">
        <f t="shared" si="28"/>
        <v>  -   </v>
      </c>
      <c r="H159" s="118" t="str">
        <f t="shared" si="28"/>
        <v>  -   </v>
      </c>
      <c r="I159" s="118" t="str">
        <f t="shared" si="28"/>
        <v>  -   </v>
      </c>
      <c r="J159" s="118" t="str">
        <f t="shared" si="28"/>
        <v>  -   </v>
      </c>
    </row>
    <row r="160" ht="14.25" customHeight="1">
      <c r="A160" s="73"/>
      <c r="B160" s="73"/>
      <c r="C160" s="73"/>
      <c r="D160" s="116"/>
      <c r="E160" s="116"/>
      <c r="F160" s="116"/>
      <c r="G160" s="116"/>
      <c r="H160" s="116"/>
      <c r="I160" s="116"/>
      <c r="J160" s="116"/>
    </row>
    <row r="161" ht="14.25" customHeight="1">
      <c r="A161" s="117" t="s">
        <v>646</v>
      </c>
      <c r="B161" s="117"/>
      <c r="C161" s="117"/>
      <c r="D161" s="116"/>
      <c r="E161" s="116"/>
      <c r="F161" s="116"/>
      <c r="G161" s="116"/>
      <c r="H161" s="116"/>
      <c r="I161" s="116"/>
      <c r="J161" s="116"/>
    </row>
    <row r="162" ht="14.25" customHeight="1">
      <c r="A162" s="117" t="s">
        <v>412</v>
      </c>
      <c r="B162" s="117"/>
      <c r="C162" s="73"/>
      <c r="D162" s="116"/>
      <c r="E162" s="116"/>
      <c r="F162" s="116"/>
      <c r="G162" s="116"/>
      <c r="H162" s="116"/>
      <c r="I162" s="116"/>
      <c r="J162" s="116"/>
    </row>
    <row r="163" ht="14.25" customHeight="1">
      <c r="A163" s="73" t="s">
        <v>770</v>
      </c>
      <c r="B163" s="75" t="s">
        <v>679</v>
      </c>
      <c r="C163" s="380">
        <v>6000.0</v>
      </c>
      <c r="D163" s="116" t="str">
        <f t="shared" ref="D163:J163" si="29">B62*$C163*D$149</f>
        <v>  -   </v>
      </c>
      <c r="E163" s="116" t="str">
        <f t="shared" si="29"/>
        <v>  -   </v>
      </c>
      <c r="F163" s="116" t="str">
        <f t="shared" si="29"/>
        <v>  -   </v>
      </c>
      <c r="G163" s="116" t="str">
        <f t="shared" si="29"/>
        <v>  -   </v>
      </c>
      <c r="H163" s="116" t="str">
        <f t="shared" si="29"/>
        <v>  -   </v>
      </c>
      <c r="I163" s="116" t="str">
        <f t="shared" si="29"/>
        <v>  -   </v>
      </c>
      <c r="J163" s="116" t="str">
        <f t="shared" si="29"/>
        <v>  -   </v>
      </c>
    </row>
    <row r="164" ht="14.25" customHeight="1">
      <c r="A164" s="73" t="s">
        <v>771</v>
      </c>
      <c r="B164" s="75" t="s">
        <v>679</v>
      </c>
      <c r="C164" s="75">
        <v>2000.0</v>
      </c>
      <c r="D164" s="116" t="str">
        <f t="shared" ref="D164:J164" si="30">(B62*10%)*$C164*D$149</f>
        <v>  -   </v>
      </c>
      <c r="E164" s="116" t="str">
        <f t="shared" si="30"/>
        <v>  -   </v>
      </c>
      <c r="F164" s="116" t="str">
        <f t="shared" si="30"/>
        <v>  -   </v>
      </c>
      <c r="G164" s="116" t="str">
        <f t="shared" si="30"/>
        <v>  -   </v>
      </c>
      <c r="H164" s="116" t="str">
        <f t="shared" si="30"/>
        <v>  -   </v>
      </c>
      <c r="I164" s="116" t="str">
        <f t="shared" si="30"/>
        <v>  -   </v>
      </c>
      <c r="J164" s="116" t="str">
        <f t="shared" si="30"/>
        <v>  -   </v>
      </c>
    </row>
    <row r="165" ht="14.25" customHeight="1">
      <c r="A165" s="73" t="s">
        <v>681</v>
      </c>
      <c r="B165" s="75">
        <v>5.0</v>
      </c>
      <c r="C165" s="75">
        <v>300.0</v>
      </c>
      <c r="D165" s="116" t="str">
        <f t="shared" ref="D165:J165" si="31">B12*$B$165*$C$165*D149</f>
        <v>  -   </v>
      </c>
      <c r="E165" s="116" t="str">
        <f t="shared" si="31"/>
        <v>  -   </v>
      </c>
      <c r="F165" s="116" t="str">
        <f t="shared" si="31"/>
        <v>  -   </v>
      </c>
      <c r="G165" s="116" t="str">
        <f t="shared" si="31"/>
        <v>  -   </v>
      </c>
      <c r="H165" s="116" t="str">
        <f t="shared" si="31"/>
        <v>  -   </v>
      </c>
      <c r="I165" s="116" t="str">
        <f t="shared" si="31"/>
        <v>  -   </v>
      </c>
      <c r="J165" s="116" t="str">
        <f t="shared" si="31"/>
        <v>  -   </v>
      </c>
    </row>
    <row r="166" ht="14.25" customHeight="1">
      <c r="A166" s="73" t="s">
        <v>648</v>
      </c>
      <c r="B166" s="73" t="str">
        <f>'2.Capex Details'!H74*0.746*8</f>
        <v>0</v>
      </c>
      <c r="C166" s="75">
        <v>8.0</v>
      </c>
      <c r="D166" s="116" t="str">
        <f t="shared" ref="D166:J166" si="32">$B$166*$C$166*B12*D149</f>
        <v>  -   </v>
      </c>
      <c r="E166" s="116" t="str">
        <f t="shared" si="32"/>
        <v>  -   </v>
      </c>
      <c r="F166" s="116" t="str">
        <f t="shared" si="32"/>
        <v>  -   </v>
      </c>
      <c r="G166" s="116" t="str">
        <f t="shared" si="32"/>
        <v>  -   </v>
      </c>
      <c r="H166" s="116" t="str">
        <f t="shared" si="32"/>
        <v>  -   </v>
      </c>
      <c r="I166" s="116" t="str">
        <f t="shared" si="32"/>
        <v>  -   </v>
      </c>
      <c r="J166" s="116" t="str">
        <f t="shared" si="32"/>
        <v>  -   </v>
      </c>
    </row>
    <row r="167" ht="14.25" customHeight="1">
      <c r="A167" s="73" t="s">
        <v>772</v>
      </c>
      <c r="B167" s="73" t="s">
        <v>679</v>
      </c>
      <c r="C167" s="75">
        <v>10.0</v>
      </c>
      <c r="D167" s="116" t="str">
        <f t="shared" ref="D167:J167" si="33">B62*$C167*D$149</f>
        <v>  -   </v>
      </c>
      <c r="E167" s="116" t="str">
        <f t="shared" si="33"/>
        <v>  -   </v>
      </c>
      <c r="F167" s="116" t="str">
        <f t="shared" si="33"/>
        <v>  -   </v>
      </c>
      <c r="G167" s="116" t="str">
        <f t="shared" si="33"/>
        <v>  -   </v>
      </c>
      <c r="H167" s="116" t="str">
        <f t="shared" si="33"/>
        <v>  -   </v>
      </c>
      <c r="I167" s="116" t="str">
        <f t="shared" si="33"/>
        <v>  -   </v>
      </c>
      <c r="J167" s="116" t="str">
        <f t="shared" si="33"/>
        <v>  -   </v>
      </c>
    </row>
    <row r="168" ht="14.25" customHeight="1">
      <c r="A168" s="298" t="s">
        <v>773</v>
      </c>
      <c r="B168" s="298"/>
      <c r="C168" s="384">
        <v>2.0</v>
      </c>
      <c r="D168" s="116" t="str">
        <f t="shared" ref="D168:J168" si="34">SUM(B141:B143)*$C$168*D$149</f>
        <v>  -   </v>
      </c>
      <c r="E168" s="116" t="str">
        <f t="shared" si="34"/>
        <v>  -   </v>
      </c>
      <c r="F168" s="116" t="str">
        <f t="shared" si="34"/>
        <v>  -   </v>
      </c>
      <c r="G168" s="116" t="str">
        <f t="shared" si="34"/>
        <v>  -   </v>
      </c>
      <c r="H168" s="116" t="str">
        <f t="shared" si="34"/>
        <v>  -   </v>
      </c>
      <c r="I168" s="116" t="str">
        <f t="shared" si="34"/>
        <v>  -   </v>
      </c>
      <c r="J168" s="116" t="str">
        <f t="shared" si="34"/>
        <v>  -   </v>
      </c>
    </row>
    <row r="169" ht="14.25" customHeight="1">
      <c r="A169" s="73" t="s">
        <v>683</v>
      </c>
      <c r="B169" s="73"/>
      <c r="C169" s="75">
        <v>1.0</v>
      </c>
      <c r="D169" s="116" t="str">
        <f t="shared" ref="D169:J169" si="35">SUM(B141:B143)*$C$169*D$149</f>
        <v>  -   </v>
      </c>
      <c r="E169" s="116" t="str">
        <f t="shared" si="35"/>
        <v>  -   </v>
      </c>
      <c r="F169" s="116" t="str">
        <f t="shared" si="35"/>
        <v>  -   </v>
      </c>
      <c r="G169" s="116" t="str">
        <f t="shared" si="35"/>
        <v>  -   </v>
      </c>
      <c r="H169" s="116" t="str">
        <f t="shared" si="35"/>
        <v>  -   </v>
      </c>
      <c r="I169" s="116" t="str">
        <f t="shared" si="35"/>
        <v>  -   </v>
      </c>
      <c r="J169" s="116" t="str">
        <f t="shared" si="35"/>
        <v>  -   </v>
      </c>
    </row>
    <row r="170" ht="14.25" customHeight="1">
      <c r="A170" s="85"/>
      <c r="B170" s="85"/>
      <c r="C170" s="85"/>
      <c r="D170" s="85"/>
      <c r="E170" s="85"/>
      <c r="F170" s="85"/>
      <c r="G170" s="85"/>
      <c r="H170" s="85"/>
      <c r="I170" s="85"/>
      <c r="J170" s="85"/>
    </row>
    <row r="171" ht="14.25" customHeight="1">
      <c r="A171" s="85"/>
      <c r="B171" s="85"/>
      <c r="C171" s="85"/>
      <c r="D171" s="85"/>
      <c r="E171" s="85"/>
      <c r="F171" s="85"/>
      <c r="G171" s="85"/>
      <c r="H171" s="85"/>
      <c r="I171" s="85"/>
      <c r="J171" s="85"/>
    </row>
    <row r="172" ht="14.25" customHeight="1">
      <c r="A172" s="85"/>
      <c r="B172" s="85"/>
      <c r="C172" s="85"/>
      <c r="D172" s="85"/>
      <c r="E172" s="85"/>
      <c r="F172" s="85"/>
      <c r="G172" s="85"/>
      <c r="H172" s="85"/>
      <c r="I172" s="85"/>
      <c r="J172" s="85"/>
    </row>
    <row r="173" ht="14.25" customHeight="1">
      <c r="A173" s="85"/>
      <c r="B173" s="85"/>
      <c r="C173" s="85"/>
      <c r="D173" s="85"/>
      <c r="E173" s="85"/>
      <c r="F173" s="85"/>
      <c r="G173" s="85"/>
      <c r="H173" s="85"/>
      <c r="I173" s="85"/>
      <c r="J173" s="85"/>
    </row>
    <row r="174" ht="14.25" customHeight="1">
      <c r="A174" s="116" t="s">
        <v>651</v>
      </c>
      <c r="B174" s="116"/>
      <c r="C174" s="116"/>
      <c r="D174" s="116"/>
      <c r="E174" s="116" t="str">
        <f>'5.Closing Stock &amp; W Capital'!F9</f>
        <v>  -   </v>
      </c>
      <c r="F174" s="116" t="str">
        <f>'5.Closing Stock &amp; W Capital'!G9</f>
        <v>  -   </v>
      </c>
      <c r="G174" s="116" t="str">
        <f>'5.Closing Stock &amp; W Capital'!H9</f>
        <v>  -   </v>
      </c>
      <c r="H174" s="116" t="str">
        <f>'5.Closing Stock &amp; W Capital'!I9</f>
        <v>  -   </v>
      </c>
      <c r="I174" s="116" t="str">
        <f>'5.Closing Stock &amp; W Capital'!J9</f>
        <v>  -   </v>
      </c>
      <c r="J174" s="116" t="str">
        <f>'5.Closing Stock &amp; W Capital'!K9</f>
        <v>  -   </v>
      </c>
    </row>
    <row r="175" ht="14.25" customHeight="1">
      <c r="A175" s="116" t="s">
        <v>652</v>
      </c>
      <c r="B175" s="116"/>
      <c r="C175" s="116"/>
      <c r="D175" s="116" t="str">
        <f>'5.Closing Stock &amp; W Capital'!E18</f>
        <v>  -   </v>
      </c>
      <c r="E175" s="116" t="str">
        <f>'5.Closing Stock &amp; W Capital'!F18</f>
        <v>  -   </v>
      </c>
      <c r="F175" s="116" t="str">
        <f>'5.Closing Stock &amp; W Capital'!G18</f>
        <v>  -   </v>
      </c>
      <c r="G175" s="116" t="str">
        <f>'5.Closing Stock &amp; W Capital'!H18</f>
        <v>  -   </v>
      </c>
      <c r="H175" s="116" t="str">
        <f>'5.Closing Stock &amp; W Capital'!I18</f>
        <v>  -   </v>
      </c>
      <c r="I175" s="116" t="str">
        <f>'5.Closing Stock &amp; W Capital'!J18</f>
        <v>  -   </v>
      </c>
      <c r="J175" s="116" t="str">
        <f>'5.Closing Stock &amp; W Capital'!K18</f>
        <v>  -   </v>
      </c>
    </row>
    <row r="176" ht="14.25" customHeight="1">
      <c r="A176" s="116"/>
      <c r="B176" s="116"/>
      <c r="C176" s="116"/>
      <c r="D176" s="116"/>
      <c r="E176" s="116"/>
      <c r="F176" s="116"/>
      <c r="G176" s="116"/>
      <c r="H176" s="116"/>
      <c r="I176" s="116"/>
      <c r="J176" s="116"/>
    </row>
    <row r="177" ht="14.25" customHeight="1">
      <c r="A177" s="118" t="s">
        <v>413</v>
      </c>
      <c r="B177" s="116"/>
      <c r="C177" s="116"/>
      <c r="D177" s="118" t="str">
        <f t="shared" ref="D177:J177" si="36">SUM(D163:D174)-D175</f>
        <v>  -   </v>
      </c>
      <c r="E177" s="118" t="str">
        <f t="shared" si="36"/>
        <v>  -   </v>
      </c>
      <c r="F177" s="118" t="str">
        <f t="shared" si="36"/>
        <v>  -   </v>
      </c>
      <c r="G177" s="118" t="str">
        <f t="shared" si="36"/>
        <v>  -   </v>
      </c>
      <c r="H177" s="118" t="str">
        <f t="shared" si="36"/>
        <v>  -   </v>
      </c>
      <c r="I177" s="118" t="str">
        <f t="shared" si="36"/>
        <v>  -   </v>
      </c>
      <c r="J177" s="118" t="str">
        <f t="shared" si="36"/>
        <v>  -   </v>
      </c>
    </row>
    <row r="178" ht="14.25" customHeight="1">
      <c r="A178" s="111"/>
      <c r="B178" s="111"/>
      <c r="C178" s="111"/>
      <c r="D178" s="111"/>
      <c r="E178" s="111"/>
      <c r="F178" s="111"/>
      <c r="G178" s="111"/>
      <c r="H178" s="111"/>
      <c r="I178" s="111"/>
      <c r="J178" s="111"/>
    </row>
    <row r="179" ht="14.25" customHeight="1">
      <c r="A179" s="376" t="s">
        <v>414</v>
      </c>
      <c r="B179" s="376"/>
      <c r="C179" s="376"/>
      <c r="D179" s="118"/>
      <c r="E179" s="118"/>
      <c r="F179" s="118"/>
      <c r="G179" s="118"/>
      <c r="H179" s="118"/>
      <c r="I179" s="118"/>
      <c r="J179" s="118"/>
    </row>
    <row r="180" ht="14.25" customHeight="1">
      <c r="A180" s="73" t="s">
        <v>653</v>
      </c>
      <c r="B180" s="75">
        <v>1.0</v>
      </c>
      <c r="C180" s="380"/>
      <c r="D180" s="116" t="str">
        <f t="shared" ref="D180:J180" si="37">$B$180*$C$180*12*D149</f>
        <v>  -   </v>
      </c>
      <c r="E180" s="116" t="str">
        <f t="shared" si="37"/>
        <v>  -   </v>
      </c>
      <c r="F180" s="116" t="str">
        <f t="shared" si="37"/>
        <v>  -   </v>
      </c>
      <c r="G180" s="116" t="str">
        <f t="shared" si="37"/>
        <v>  -   </v>
      </c>
      <c r="H180" s="116" t="str">
        <f t="shared" si="37"/>
        <v>  -   </v>
      </c>
      <c r="I180" s="116" t="str">
        <f t="shared" si="37"/>
        <v>  -   </v>
      </c>
      <c r="J180" s="116" t="str">
        <f t="shared" si="37"/>
        <v>  -   </v>
      </c>
    </row>
    <row r="181" ht="14.25" customHeight="1">
      <c r="A181" s="73" t="s">
        <v>754</v>
      </c>
      <c r="B181" s="75">
        <v>2.0</v>
      </c>
      <c r="C181" s="380"/>
      <c r="D181" s="116" t="str">
        <f t="shared" ref="D181:J181" si="38">$B$181*$C$181*12*D149</f>
        <v>  -   </v>
      </c>
      <c r="E181" s="116" t="str">
        <f t="shared" si="38"/>
        <v>  -   </v>
      </c>
      <c r="F181" s="116" t="str">
        <f t="shared" si="38"/>
        <v>  -   </v>
      </c>
      <c r="G181" s="116" t="str">
        <f t="shared" si="38"/>
        <v>  -   </v>
      </c>
      <c r="H181" s="116" t="str">
        <f t="shared" si="38"/>
        <v>  -   </v>
      </c>
      <c r="I181" s="116" t="str">
        <f t="shared" si="38"/>
        <v>  -   </v>
      </c>
      <c r="J181" s="116" t="str">
        <f t="shared" si="38"/>
        <v>  -   </v>
      </c>
    </row>
    <row r="182" ht="14.25" customHeight="1">
      <c r="A182" s="73"/>
      <c r="B182" s="75"/>
      <c r="C182" s="380"/>
      <c r="D182" s="116"/>
      <c r="E182" s="116"/>
      <c r="F182" s="116"/>
      <c r="G182" s="116"/>
      <c r="H182" s="116"/>
      <c r="I182" s="116"/>
      <c r="J182" s="116"/>
    </row>
    <row r="183" ht="14.25" customHeight="1">
      <c r="A183" s="73"/>
      <c r="B183" s="75"/>
      <c r="C183" s="380"/>
      <c r="D183" s="116"/>
      <c r="E183" s="116"/>
      <c r="F183" s="116"/>
      <c r="G183" s="116"/>
      <c r="H183" s="116"/>
      <c r="I183" s="116"/>
      <c r="J183" s="116"/>
    </row>
    <row r="184" ht="14.25" customHeight="1">
      <c r="A184" s="73"/>
      <c r="B184" s="75"/>
      <c r="C184" s="380"/>
      <c r="D184" s="116"/>
      <c r="E184" s="116"/>
      <c r="F184" s="116"/>
      <c r="G184" s="116"/>
      <c r="H184" s="116"/>
      <c r="I184" s="116"/>
      <c r="J184" s="116"/>
    </row>
    <row r="185" ht="14.25" customHeight="1">
      <c r="A185" s="117" t="s">
        <v>414</v>
      </c>
      <c r="B185" s="117"/>
      <c r="C185" s="117"/>
      <c r="D185" s="118" t="str">
        <f t="shared" ref="D185:J185" si="39">SUM(D180:D184)</f>
        <v>  -   </v>
      </c>
      <c r="E185" s="118" t="str">
        <f t="shared" si="39"/>
        <v>  -   </v>
      </c>
      <c r="F185" s="118" t="str">
        <f t="shared" si="39"/>
        <v>  -   </v>
      </c>
      <c r="G185" s="118" t="str">
        <f t="shared" si="39"/>
        <v>  -   </v>
      </c>
      <c r="H185" s="118" t="str">
        <f t="shared" si="39"/>
        <v>  -   </v>
      </c>
      <c r="I185" s="118" t="str">
        <f t="shared" si="39"/>
        <v>  -   </v>
      </c>
      <c r="J185" s="118" t="str">
        <f t="shared" si="39"/>
        <v>  -   </v>
      </c>
    </row>
    <row r="186" ht="14.25" customHeight="1">
      <c r="A186" s="376" t="s">
        <v>684</v>
      </c>
      <c r="B186" s="376"/>
      <c r="C186" s="376"/>
      <c r="D186" s="118" t="str">
        <f t="shared" ref="D186:J186" si="40">D177+D185</f>
        <v>  -   </v>
      </c>
      <c r="E186" s="118" t="str">
        <f t="shared" si="40"/>
        <v>  -   </v>
      </c>
      <c r="F186" s="118" t="str">
        <f t="shared" si="40"/>
        <v>  -   </v>
      </c>
      <c r="G186" s="118" t="str">
        <f t="shared" si="40"/>
        <v>  -   </v>
      </c>
      <c r="H186" s="118" t="str">
        <f t="shared" si="40"/>
        <v>  -   </v>
      </c>
      <c r="I186" s="118" t="str">
        <f t="shared" si="40"/>
        <v>  -   </v>
      </c>
      <c r="J186" s="118" t="str">
        <f t="shared" si="40"/>
        <v>  -   </v>
      </c>
    </row>
    <row r="187" ht="14.25" customHeight="1">
      <c r="A187" s="73"/>
      <c r="B187" s="73"/>
      <c r="C187" s="73"/>
      <c r="D187" s="116"/>
      <c r="E187" s="116"/>
      <c r="F187" s="116"/>
      <c r="G187" s="116"/>
      <c r="H187" s="116"/>
      <c r="I187" s="116"/>
      <c r="J187" s="116"/>
    </row>
    <row r="188" ht="14.25" customHeight="1">
      <c r="A188" s="117" t="s">
        <v>461</v>
      </c>
      <c r="B188" s="117"/>
      <c r="C188" s="117"/>
      <c r="D188" s="118" t="str">
        <f t="shared" ref="D188:J188" si="41">D159-D186</f>
        <v>  -   </v>
      </c>
      <c r="E188" s="118" t="str">
        <f t="shared" si="41"/>
        <v>  -   </v>
      </c>
      <c r="F188" s="118" t="str">
        <f t="shared" si="41"/>
        <v>  -   </v>
      </c>
      <c r="G188" s="118" t="str">
        <f t="shared" si="41"/>
        <v>  -   </v>
      </c>
      <c r="H188" s="118" t="str">
        <f t="shared" si="41"/>
        <v>  -   </v>
      </c>
      <c r="I188" s="118" t="str">
        <f t="shared" si="41"/>
        <v>  -   </v>
      </c>
      <c r="J188" s="118" t="str">
        <f t="shared" si="41"/>
        <v>  -   </v>
      </c>
    </row>
    <row r="189" ht="14.25" customHeight="1">
      <c r="A189" s="294"/>
      <c r="B189" s="294"/>
      <c r="C189" s="294"/>
      <c r="D189" s="111"/>
      <c r="E189" s="111"/>
      <c r="F189" s="111"/>
      <c r="G189" s="111"/>
      <c r="H189" s="111"/>
      <c r="I189" s="111"/>
      <c r="J189" s="111"/>
    </row>
    <row r="190" ht="14.25" customHeight="1">
      <c r="A190" s="111"/>
      <c r="B190" s="111"/>
      <c r="C190" s="111"/>
      <c r="D190" s="111"/>
      <c r="E190" s="111"/>
      <c r="F190" s="111"/>
      <c r="G190" s="111"/>
      <c r="H190" s="111"/>
      <c r="I190" s="111"/>
      <c r="J190" s="111"/>
    </row>
    <row r="191" ht="14.25" customHeight="1">
      <c r="A191" s="111"/>
      <c r="B191" s="111"/>
      <c r="C191" s="111"/>
      <c r="D191" s="111"/>
      <c r="E191" s="111"/>
      <c r="F191" s="111"/>
      <c r="G191" s="111"/>
      <c r="H191" s="111"/>
      <c r="I191" s="111"/>
      <c r="J191" s="111"/>
    </row>
    <row r="192" ht="14.25" customHeight="1">
      <c r="A192" s="24" t="s">
        <v>685</v>
      </c>
    </row>
    <row r="193" ht="14.25" customHeight="1"/>
    <row r="194" ht="14.25" customHeight="1">
      <c r="A194" t="s">
        <v>369</v>
      </c>
    </row>
    <row r="195" ht="14.25" customHeight="1">
      <c r="A195">
        <v>1.0</v>
      </c>
      <c r="B195" t="s">
        <v>658</v>
      </c>
    </row>
    <row r="196" ht="14.25" customHeight="1">
      <c r="A196">
        <v>2.0</v>
      </c>
      <c r="B196" t="s">
        <v>659</v>
      </c>
      <c r="C196" s="44"/>
      <c r="D196" s="44"/>
      <c r="E196" s="44"/>
    </row>
    <row r="197" ht="14.25" customHeight="1">
      <c r="A197">
        <v>3.0</v>
      </c>
      <c r="B197" s="111" t="s">
        <v>660</v>
      </c>
    </row>
    <row r="198" ht="14.25" customHeight="1"/>
    <row r="199" ht="14.25" customHeight="1">
      <c r="A199" t="s">
        <v>686</v>
      </c>
      <c r="B199" t="s">
        <v>774</v>
      </c>
    </row>
    <row r="200" ht="14.25" customHeight="1">
      <c r="B200" t="s">
        <v>688</v>
      </c>
    </row>
  </sheetData>
  <mergeCells count="4">
    <mergeCell ref="A3:H3"/>
    <mergeCell ref="A147:J147"/>
    <mergeCell ref="A192:J192"/>
    <mergeCell ref="A4:H4"/>
  </mergeCells>
  <printOptions/>
  <pageMargins bottom="0.75" footer="0.0" header="0.0" left="0.7" right="0.7" top="0.75"/>
  <pageSetup paperSize="9" orientation="portrait"/>
  <colBreaks count="1" manualBreakCount="1">
    <brk id="10" man="1"/>
  </colBreak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7.57"/>
    <col customWidth="1" min="3" max="3" width="26.29"/>
    <col customWidth="1" min="4" max="4" width="15.0"/>
    <col customWidth="1" min="5" max="5" width="16.0"/>
    <col customWidth="1" min="6" max="6" width="24.0"/>
    <col customWidth="1" hidden="1" min="7" max="7" width="29.71"/>
    <col customWidth="1" hidden="1" min="8" max="8" width="5.0"/>
    <col customWidth="1" hidden="1" min="9" max="10" width="8.71"/>
    <col customWidth="1" hidden="1" min="11" max="11" width="17.86"/>
    <col customWidth="1" hidden="1" min="12" max="13" width="10.43"/>
    <col customWidth="1" hidden="1" min="14" max="14" width="16.0"/>
    <col customWidth="1" hidden="1" min="15" max="15" width="8.71"/>
    <col customWidth="1" min="16" max="16" width="9.71"/>
  </cols>
  <sheetData>
    <row r="1" ht="14.25" customHeight="1">
      <c r="J1" s="24" t="s">
        <v>80</v>
      </c>
    </row>
    <row r="2" ht="14.25" customHeight="1">
      <c r="B2" s="25" t="s">
        <v>81</v>
      </c>
      <c r="J2" s="25" t="s">
        <v>81</v>
      </c>
    </row>
    <row r="3" ht="14.25" customHeight="1"/>
    <row r="4" ht="14.25" customHeight="1">
      <c r="B4" s="26" t="s">
        <v>82</v>
      </c>
      <c r="C4" s="26" t="s">
        <v>83</v>
      </c>
      <c r="D4" s="26" t="s">
        <v>84</v>
      </c>
      <c r="E4" s="27" t="s">
        <v>85</v>
      </c>
      <c r="F4" s="27" t="s">
        <v>86</v>
      </c>
      <c r="J4" s="26" t="s">
        <v>82</v>
      </c>
      <c r="K4" s="26" t="s">
        <v>83</v>
      </c>
      <c r="L4" s="26" t="s">
        <v>84</v>
      </c>
      <c r="M4" s="26" t="s">
        <v>85</v>
      </c>
      <c r="N4" s="26" t="s">
        <v>86</v>
      </c>
    </row>
    <row r="5" ht="14.25" customHeight="1">
      <c r="B5" s="28">
        <v>1.0</v>
      </c>
      <c r="C5" s="29" t="str">
        <f>'2.Capex Details'!B2</f>
        <v>Land and Building</v>
      </c>
      <c r="D5" s="30" t="str">
        <f>'2.Capex Details'!G9</f>
        <v>  24,802,276 </v>
      </c>
      <c r="E5" s="31">
        <v>0.6</v>
      </c>
      <c r="F5" s="32" t="str">
        <f t="shared" ref="F5:F10" si="2">D5*E5</f>
        <v>  14,881,366 </v>
      </c>
      <c r="J5" s="28">
        <v>1.0</v>
      </c>
      <c r="K5" s="29" t="str">
        <f t="shared" ref="K5:L5" si="1">C5</f>
        <v>Land and Building</v>
      </c>
      <c r="L5" s="30" t="str">
        <f t="shared" si="1"/>
        <v>  24,802,276 </v>
      </c>
      <c r="M5" s="31">
        <v>0.46</v>
      </c>
      <c r="N5" s="32" t="str">
        <f t="shared" ref="N5:N10" si="4">L5*M5</f>
        <v>  11,409,047 </v>
      </c>
    </row>
    <row r="6" ht="14.25" customHeight="1">
      <c r="B6" s="28">
        <v>2.0</v>
      </c>
      <c r="C6" s="29" t="str">
        <f>'2.Capex Details'!B14</f>
        <v>Machinery and Equipment</v>
      </c>
      <c r="D6" s="30" t="str">
        <f>'2.Capex Details'!G76</f>
        <v>  6,595,634 </v>
      </c>
      <c r="E6" s="31">
        <v>0.6</v>
      </c>
      <c r="F6" s="32" t="str">
        <f t="shared" si="2"/>
        <v>  3,957,380 </v>
      </c>
      <c r="J6" s="28">
        <v>2.0</v>
      </c>
      <c r="K6" s="29" t="str">
        <f t="shared" ref="K6:L6" si="3">C6</f>
        <v>Machinery and Equipment</v>
      </c>
      <c r="L6" s="30" t="str">
        <f t="shared" si="3"/>
        <v>  6,595,634 </v>
      </c>
      <c r="M6" s="31" t="str">
        <f t="shared" ref="M6:M10" si="6">M5</f>
        <v>46%</v>
      </c>
      <c r="N6" s="32" t="str">
        <f t="shared" si="4"/>
        <v>  3,033,992 </v>
      </c>
    </row>
    <row r="7" ht="14.25" customHeight="1">
      <c r="B7" s="28">
        <v>3.0</v>
      </c>
      <c r="C7" s="29" t="str">
        <f>'2.Capex Details'!B82</f>
        <v>Furniture and Fixture</v>
      </c>
      <c r="D7" s="30" t="str">
        <f>'2.Capex Details'!F91</f>
        <v>  -   </v>
      </c>
      <c r="E7" s="31">
        <v>0.6</v>
      </c>
      <c r="F7" s="32" t="str">
        <f t="shared" si="2"/>
        <v>  -   </v>
      </c>
      <c r="J7" s="28">
        <v>3.0</v>
      </c>
      <c r="K7" s="29" t="str">
        <f t="shared" ref="K7:L7" si="5">C7</f>
        <v>Furniture and Fixture</v>
      </c>
      <c r="L7" s="30" t="str">
        <f t="shared" si="5"/>
        <v>  -   </v>
      </c>
      <c r="M7" s="31" t="str">
        <f t="shared" si="6"/>
        <v>46%</v>
      </c>
      <c r="N7" s="32" t="str">
        <f t="shared" si="4"/>
        <v>  -   </v>
      </c>
    </row>
    <row r="8" ht="14.25" customHeight="1">
      <c r="B8" s="28">
        <v>4.0</v>
      </c>
      <c r="C8" s="29" t="str">
        <f>'2.Capex Details'!B96</f>
        <v>IT &amp; It Infrastracture</v>
      </c>
      <c r="D8" s="30" t="str">
        <f>'2.Capex Details'!F125</f>
        <v>  -   </v>
      </c>
      <c r="E8" s="31">
        <v>0.6</v>
      </c>
      <c r="F8" s="32" t="str">
        <f t="shared" si="2"/>
        <v>  -   </v>
      </c>
      <c r="J8" s="28">
        <v>4.0</v>
      </c>
      <c r="K8" s="29" t="str">
        <f t="shared" ref="K8:L8" si="7">C8</f>
        <v>IT &amp; It Infrastracture</v>
      </c>
      <c r="L8" s="30" t="str">
        <f t="shared" si="7"/>
        <v>  -   </v>
      </c>
      <c r="M8" s="31" t="str">
        <f t="shared" si="6"/>
        <v>46%</v>
      </c>
      <c r="N8" s="32" t="str">
        <f t="shared" si="4"/>
        <v>  -   </v>
      </c>
    </row>
    <row r="9" ht="14.25" customHeight="1">
      <c r="B9" s="28">
        <v>5.0</v>
      </c>
      <c r="C9" s="29" t="str">
        <f>'2.Capex Details'!B130</f>
        <v>Vehicle</v>
      </c>
      <c r="D9" s="30" t="str">
        <f>'2.Capex Details'!F153</f>
        <v/>
      </c>
      <c r="E9" s="31">
        <v>0.6</v>
      </c>
      <c r="F9" s="32" t="str">
        <f t="shared" si="2"/>
        <v>  -   </v>
      </c>
      <c r="J9" s="28">
        <v>5.0</v>
      </c>
      <c r="K9" s="29" t="str">
        <f t="shared" ref="K9:L9" si="8">C9</f>
        <v>Vehicle</v>
      </c>
      <c r="L9" s="30" t="str">
        <f t="shared" si="8"/>
        <v/>
      </c>
      <c r="M9" s="31" t="str">
        <f t="shared" si="6"/>
        <v>46%</v>
      </c>
      <c r="N9" s="32" t="str">
        <f t="shared" si="4"/>
        <v>  -   </v>
      </c>
    </row>
    <row r="10" ht="14.25" customHeight="1">
      <c r="B10" s="28">
        <v>6.0</v>
      </c>
      <c r="C10" s="29" t="str">
        <f>'2.Capex Details'!B157</f>
        <v>Preliminary Expenses</v>
      </c>
      <c r="D10" s="30" t="str">
        <f>'2.Capex Details'!D164</f>
        <v>  748,646 </v>
      </c>
      <c r="E10" s="31">
        <v>0.6</v>
      </c>
      <c r="F10" s="32" t="str">
        <f t="shared" si="2"/>
        <v>  449,187 </v>
      </c>
      <c r="J10" s="28">
        <v>6.0</v>
      </c>
      <c r="K10" s="29" t="str">
        <f t="shared" ref="K10:L10" si="9">C10</f>
        <v>Preliminary Expenses</v>
      </c>
      <c r="L10" s="30" t="str">
        <f t="shared" si="9"/>
        <v>  748,646 </v>
      </c>
      <c r="M10" s="31" t="str">
        <f t="shared" si="6"/>
        <v>46%</v>
      </c>
      <c r="N10" s="32" t="str">
        <f t="shared" si="4"/>
        <v>  344,377 </v>
      </c>
    </row>
    <row r="11" ht="14.25" customHeight="1">
      <c r="B11" s="28">
        <v>7.0</v>
      </c>
      <c r="C11" s="29" t="s">
        <v>87</v>
      </c>
      <c r="D11" s="33" t="str">
        <f>'5.Closing Stock &amp; W Capital'!E57</f>
        <v>  191,558 </v>
      </c>
      <c r="E11" s="34"/>
      <c r="F11" s="34"/>
      <c r="J11" s="28">
        <v>7.0</v>
      </c>
      <c r="K11" s="29" t="str">
        <f t="shared" ref="K11:L11" si="10">C11</f>
        <v>Working Capital</v>
      </c>
      <c r="L11" s="30" t="str">
        <f t="shared" si="10"/>
        <v>  191,558 </v>
      </c>
      <c r="M11" s="34"/>
      <c r="N11" s="34"/>
    </row>
    <row r="12" ht="14.25" customHeight="1">
      <c r="B12" s="35" t="s">
        <v>88</v>
      </c>
      <c r="C12" s="6"/>
      <c r="D12" s="36" t="str">
        <f>SUM(D5:D11)</f>
        <v>  32,338,113 </v>
      </c>
      <c r="E12" s="34"/>
      <c r="F12" s="36" t="str">
        <f>SUM(F5:F11)</f>
        <v>  19,287,933 </v>
      </c>
      <c r="J12" s="35" t="s">
        <v>88</v>
      </c>
      <c r="K12" s="6"/>
      <c r="L12" s="36" t="str">
        <f>SUM(L5:L11)</f>
        <v>  32,338,113 </v>
      </c>
      <c r="M12" s="34"/>
      <c r="N12" s="36" t="str">
        <f>SUM(N5:N11)</f>
        <v>  14,787,415 </v>
      </c>
      <c r="P12" s="37"/>
    </row>
    <row r="13" ht="14.25" customHeight="1">
      <c r="D13" s="38"/>
      <c r="L13" s="38"/>
      <c r="M13" s="38"/>
    </row>
    <row r="14" ht="25.5" customHeight="1">
      <c r="A14" s="39" t="s">
        <v>89</v>
      </c>
      <c r="H14" s="39"/>
      <c r="I14" s="39"/>
    </row>
    <row r="15" ht="14.25" customHeight="1"/>
    <row r="16" ht="14.25" customHeight="1">
      <c r="B16" s="25" t="s">
        <v>90</v>
      </c>
      <c r="J16" s="25" t="s">
        <v>90</v>
      </c>
    </row>
    <row r="17" ht="14.25" customHeight="1"/>
    <row r="18" ht="14.25" customHeight="1">
      <c r="B18" s="40" t="s">
        <v>82</v>
      </c>
      <c r="C18" s="26" t="s">
        <v>83</v>
      </c>
      <c r="D18" s="26" t="s">
        <v>91</v>
      </c>
      <c r="E18" s="26" t="s">
        <v>84</v>
      </c>
      <c r="J18" s="40" t="s">
        <v>82</v>
      </c>
      <c r="K18" s="26" t="s">
        <v>83</v>
      </c>
      <c r="L18" s="26" t="s">
        <v>91</v>
      </c>
      <c r="M18" s="26" t="s">
        <v>84</v>
      </c>
    </row>
    <row r="19" ht="14.25" customHeight="1">
      <c r="B19" s="28">
        <v>1.0</v>
      </c>
      <c r="C19" s="29" t="s">
        <v>92</v>
      </c>
      <c r="D19" s="41"/>
      <c r="E19" s="42" t="str">
        <f>IF(F12&lt;=20000000,F12,"2,00,00,000")</f>
        <v>  19,287,933 </v>
      </c>
      <c r="J19" s="28">
        <v>1.0</v>
      </c>
      <c r="K19" s="29" t="s">
        <v>92</v>
      </c>
      <c r="L19" s="41"/>
      <c r="M19" s="42" t="str">
        <f>IF(N12&lt;=20000000,N12,"2,00,00,000")</f>
        <v>  14,787,415 </v>
      </c>
    </row>
    <row r="20" ht="14.25" customHeight="1">
      <c r="B20" s="28">
        <v>2.0</v>
      </c>
      <c r="C20" s="29" t="s">
        <v>93</v>
      </c>
      <c r="D20" s="41"/>
      <c r="E20" s="43" t="str">
        <f>D12-E19-E21</f>
        <v>  9,643,967 </v>
      </c>
      <c r="G20" s="44"/>
      <c r="J20" s="28">
        <v>2.0</v>
      </c>
      <c r="K20" s="29" t="s">
        <v>94</v>
      </c>
      <c r="L20" s="45"/>
      <c r="M20" s="43" t="str">
        <f>L12-M19-M21</f>
        <v>  14,144,484 </v>
      </c>
    </row>
    <row r="21" ht="14.25" customHeight="1">
      <c r="B21" s="28">
        <v>3.0</v>
      </c>
      <c r="C21" s="29" t="s">
        <v>95</v>
      </c>
      <c r="D21" s="45">
        <v>0.1</v>
      </c>
      <c r="E21" s="43" t="str">
        <f>(SUM(D5:D10)*D21)+D11</f>
        <v>  3,406,213 </v>
      </c>
      <c r="J21" s="28">
        <v>3.0</v>
      </c>
      <c r="K21" s="29" t="s">
        <v>96</v>
      </c>
      <c r="L21" s="45">
        <v>0.1</v>
      </c>
      <c r="M21" s="43" t="str">
        <f>(SUM(L5:L10)*L21)+L11</f>
        <v>  3,406,213 </v>
      </c>
    </row>
    <row r="22" ht="14.25" customHeight="1">
      <c r="B22" s="35" t="s">
        <v>88</v>
      </c>
      <c r="C22" s="6"/>
      <c r="D22" s="46"/>
      <c r="E22" s="46" t="str">
        <f>E19+E20+E21</f>
        <v>  32,338,113 </v>
      </c>
      <c r="J22" s="35" t="s">
        <v>88</v>
      </c>
      <c r="K22" s="6"/>
      <c r="L22" s="46"/>
      <c r="M22" s="46" t="str">
        <f>M19+M20+M21</f>
        <v>  32,338,113 </v>
      </c>
    </row>
    <row r="23" ht="14.25" customHeight="1"/>
    <row r="24" ht="14.25" customHeight="1">
      <c r="B24" s="24" t="s">
        <v>97</v>
      </c>
      <c r="J24" s="24"/>
    </row>
    <row r="25" ht="14.25" customHeight="1"/>
    <row r="26" ht="14.25" customHeight="1">
      <c r="B26" s="25" t="s">
        <v>98</v>
      </c>
      <c r="J26" s="25" t="s">
        <v>98</v>
      </c>
    </row>
    <row r="27" ht="30.0" customHeight="1">
      <c r="B27" s="47" t="s">
        <v>82</v>
      </c>
      <c r="C27" s="48" t="s">
        <v>99</v>
      </c>
      <c r="D27" s="48" t="s">
        <v>100</v>
      </c>
      <c r="E27" s="47" t="s">
        <v>101</v>
      </c>
      <c r="F27" s="47" t="s">
        <v>102</v>
      </c>
      <c r="J27" s="47" t="s">
        <v>82</v>
      </c>
      <c r="K27" s="48" t="s">
        <v>99</v>
      </c>
      <c r="L27" s="48" t="s">
        <v>100</v>
      </c>
      <c r="M27" s="47" t="s">
        <v>101</v>
      </c>
      <c r="N27" s="47" t="s">
        <v>102</v>
      </c>
    </row>
    <row r="28" ht="14.25" customHeight="1">
      <c r="B28" s="49">
        <v>1.0</v>
      </c>
      <c r="C28" s="29" t="s">
        <v>103</v>
      </c>
      <c r="D28" s="50" t="str">
        <f>'9.1 Financial indiacators'!C49</f>
        <v>41.31%</v>
      </c>
      <c r="E28" s="49" t="s">
        <v>104</v>
      </c>
      <c r="F28" s="51" t="s">
        <v>105</v>
      </c>
      <c r="G28" s="52"/>
      <c r="J28" s="49">
        <v>1.0</v>
      </c>
      <c r="K28" s="29" t="s">
        <v>103</v>
      </c>
      <c r="L28" s="50" t="str">
        <f>VGF!B210</f>
        <v>26.83%</v>
      </c>
      <c r="M28" s="49" t="s">
        <v>104</v>
      </c>
      <c r="N28" s="51" t="s">
        <v>106</v>
      </c>
    </row>
    <row r="29" ht="14.25" customHeight="1">
      <c r="B29" s="49">
        <v>2.0</v>
      </c>
      <c r="C29" s="29" t="s">
        <v>107</v>
      </c>
      <c r="D29" s="50" t="str">
        <f>'9.1 Financial indiacators'!C85</f>
        <v>18.06%</v>
      </c>
      <c r="E29" s="49" t="s">
        <v>104</v>
      </c>
      <c r="F29" s="51" t="s">
        <v>108</v>
      </c>
      <c r="G29" s="53"/>
      <c r="J29" s="49">
        <v>2.0</v>
      </c>
      <c r="K29" s="29" t="s">
        <v>107</v>
      </c>
      <c r="L29" s="50" t="str">
        <f>VGF!B246</f>
        <v>31.06%</v>
      </c>
      <c r="M29" s="49" t="s">
        <v>104</v>
      </c>
      <c r="N29" s="51" t="s">
        <v>108</v>
      </c>
    </row>
    <row r="30" ht="14.25" customHeight="1">
      <c r="B30" s="49">
        <v>3.0</v>
      </c>
      <c r="C30" s="29" t="s">
        <v>109</v>
      </c>
      <c r="D30" s="50" t="str">
        <f>'9.1 Financial indiacators'!C16</f>
        <v>10.41%</v>
      </c>
      <c r="E30" s="49" t="s">
        <v>104</v>
      </c>
      <c r="F30" s="51" t="s">
        <v>110</v>
      </c>
      <c r="G30" s="53"/>
      <c r="J30" s="49">
        <v>3.0</v>
      </c>
      <c r="K30" s="29" t="s">
        <v>109</v>
      </c>
      <c r="L30" s="50" t="str">
        <f>VGF!B177</f>
        <v>26.67%</v>
      </c>
      <c r="M30" s="49" t="s">
        <v>104</v>
      </c>
      <c r="N30" s="51" t="s">
        <v>111</v>
      </c>
    </row>
    <row r="31" ht="14.25" customHeight="1">
      <c r="B31" s="49">
        <v>4.0</v>
      </c>
      <c r="C31" s="29" t="s">
        <v>112</v>
      </c>
      <c r="D31" s="54" t="str">
        <f>'9.1 Financial indiacators'!C73</f>
        <v>518,945</v>
      </c>
      <c r="E31" s="49" t="s">
        <v>113</v>
      </c>
      <c r="F31" s="51" t="s">
        <v>114</v>
      </c>
      <c r="G31" s="53"/>
      <c r="J31" s="49">
        <v>4.0</v>
      </c>
      <c r="K31" s="29" t="s">
        <v>112</v>
      </c>
      <c r="L31" s="54" t="str">
        <f>VGF!B234</f>
        <v>13,367,187</v>
      </c>
      <c r="M31" s="49" t="s">
        <v>115</v>
      </c>
      <c r="N31" s="51" t="s">
        <v>114</v>
      </c>
    </row>
    <row r="32" ht="14.25" customHeight="1">
      <c r="B32" s="49">
        <v>5.0</v>
      </c>
      <c r="C32" s="29" t="s">
        <v>116</v>
      </c>
      <c r="D32" s="55" t="str">
        <f>'9.1 Financial indiacators'!D101</f>
        <v>5.24</v>
      </c>
      <c r="E32" s="49" t="s">
        <v>104</v>
      </c>
      <c r="F32" s="51" t="s">
        <v>117</v>
      </c>
      <c r="G32" s="53"/>
      <c r="J32" s="49">
        <v>5.0</v>
      </c>
      <c r="K32" s="29" t="s">
        <v>116</v>
      </c>
      <c r="L32" s="55" t="str">
        <f>VGF!C262</f>
        <v>3.64</v>
      </c>
      <c r="M32" s="49" t="s">
        <v>104</v>
      </c>
      <c r="N32" s="51" t="s">
        <v>117</v>
      </c>
      <c r="P32" t="str">
        <f>0.24*12</f>
        <v>2.88</v>
      </c>
    </row>
    <row r="33" ht="14.25" customHeight="1">
      <c r="B33" s="49">
        <v>6.0</v>
      </c>
      <c r="C33" s="56" t="s">
        <v>118</v>
      </c>
      <c r="D33" s="55" t="str">
        <f>'9.1 Financial indiacators'!C116</f>
        <v>3.04</v>
      </c>
      <c r="E33" s="57" t="s">
        <v>104</v>
      </c>
      <c r="F33" s="51" t="s">
        <v>119</v>
      </c>
      <c r="G33" s="53"/>
      <c r="J33" s="49">
        <v>6.0</v>
      </c>
      <c r="K33" s="56" t="s">
        <v>118</v>
      </c>
      <c r="L33" s="55" t="str">
        <f>VGF!B280</f>
        <v>3.85</v>
      </c>
      <c r="M33" s="57" t="s">
        <v>104</v>
      </c>
      <c r="N33" s="51" t="s">
        <v>119</v>
      </c>
    </row>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sheetData>
  <mergeCells count="15">
    <mergeCell ref="B24:F24"/>
    <mergeCell ref="J24:N24"/>
    <mergeCell ref="J26:N26"/>
    <mergeCell ref="J1:N1"/>
    <mergeCell ref="J2:N2"/>
    <mergeCell ref="I14:N14"/>
    <mergeCell ref="J16:N16"/>
    <mergeCell ref="B26:F26"/>
    <mergeCell ref="B12:C12"/>
    <mergeCell ref="B22:C22"/>
    <mergeCell ref="B2:F2"/>
    <mergeCell ref="B16:F16"/>
    <mergeCell ref="A14:F14"/>
    <mergeCell ref="J22:K22"/>
    <mergeCell ref="J12:K12"/>
  </mergeCells>
  <conditionalFormatting sqref="D23">
    <cfRule type="cellIs" dxfId="0" priority="1" operator="greaterThan">
      <formula>0</formula>
    </cfRule>
  </conditionalFormatting>
  <conditionalFormatting sqref="L23">
    <cfRule type="cellIs" dxfId="0" priority="2" operator="greaterThan">
      <formula>0</formula>
    </cfRule>
  </conditionalFormatting>
  <printOptions/>
  <pageMargins bottom="0.75" footer="0.0" header="0.0" left="0.7" right="0.7" top="0.75"/>
  <pageSetup scale="92" orientation="portrait"/>
  <drawing r:id="rId1"/>
</worksheet>
</file>

<file path=xl/worksheets/sheet2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9.43"/>
    <col customWidth="1" min="2" max="2" width="16.71"/>
    <col customWidth="1" min="3" max="3" width="15.71"/>
    <col customWidth="1" min="4" max="4" width="15.14"/>
    <col customWidth="1" min="5" max="5" width="17.86"/>
    <col customWidth="1" min="6" max="8" width="15.14"/>
    <col customWidth="1" min="9" max="9" width="11.29"/>
    <col customWidth="1" min="10" max="11" width="8.71"/>
  </cols>
  <sheetData>
    <row r="1" ht="14.25" customHeight="1"/>
    <row r="2" ht="14.25" customHeight="1">
      <c r="A2" s="25" t="s">
        <v>403</v>
      </c>
    </row>
    <row r="3" ht="14.25" customHeight="1"/>
    <row r="4" ht="14.25" customHeight="1">
      <c r="B4" s="228"/>
      <c r="C4" s="228"/>
      <c r="D4" s="228"/>
      <c r="E4" s="228"/>
      <c r="F4" s="228"/>
    </row>
    <row r="5" ht="14.25" customHeight="1">
      <c r="A5" s="114" t="s">
        <v>190</v>
      </c>
      <c r="B5" s="115" t="s">
        <v>193</v>
      </c>
      <c r="C5" s="115" t="s">
        <v>194</v>
      </c>
      <c r="D5" s="115" t="s">
        <v>195</v>
      </c>
      <c r="E5" s="115" t="s">
        <v>196</v>
      </c>
      <c r="F5" s="115" t="s">
        <v>197</v>
      </c>
      <c r="G5" s="115" t="s">
        <v>198</v>
      </c>
      <c r="H5" s="115" t="s">
        <v>199</v>
      </c>
    </row>
    <row r="6" ht="14.25" customHeight="1">
      <c r="A6" s="117" t="s">
        <v>404</v>
      </c>
      <c r="B6" s="73"/>
      <c r="C6" s="73"/>
      <c r="D6" s="73"/>
      <c r="E6" s="73"/>
      <c r="F6" s="73"/>
      <c r="G6" s="73"/>
      <c r="H6" s="73"/>
    </row>
    <row r="7" ht="14.25" customHeight="1">
      <c r="A7" s="73"/>
      <c r="B7" s="73"/>
      <c r="C7" s="73"/>
      <c r="D7" s="73"/>
      <c r="E7" s="73"/>
      <c r="F7" s="73"/>
      <c r="G7" s="73"/>
      <c r="H7" s="73"/>
    </row>
    <row r="8" ht="14.25" customHeight="1">
      <c r="A8" s="73" t="s">
        <v>775</v>
      </c>
      <c r="B8" s="116" t="str">
        <f>'12.Facility 1 - Trading'!D184</f>
        <v>  -   </v>
      </c>
      <c r="C8" s="116" t="str">
        <f>'12.Facility 1 - Trading'!E184</f>
        <v>  -   </v>
      </c>
      <c r="D8" s="116" t="str">
        <f>'12.Facility 1 - Trading'!F184</f>
        <v>  -   </v>
      </c>
      <c r="E8" s="116" t="str">
        <f>'12.Facility 1 - Trading'!G184</f>
        <v>  -   </v>
      </c>
      <c r="F8" s="116" t="str">
        <f>'12.Facility 1 - Trading'!H184</f>
        <v>  -   </v>
      </c>
      <c r="G8" s="116" t="str">
        <f>'12.Facility 1 - Trading'!I184</f>
        <v>  -   </v>
      </c>
      <c r="H8" s="116" t="str">
        <f>'12.Facility 1 - Trading'!J184</f>
        <v>  -   </v>
      </c>
    </row>
    <row r="9" ht="14.25" customHeight="1">
      <c r="A9" s="73" t="s">
        <v>776</v>
      </c>
      <c r="B9" s="116" t="str">
        <f>'13.Facility 2 Grain Processing'!D146</f>
        <v>  16,279,465 </v>
      </c>
      <c r="C9" s="116" t="str">
        <f>'13.Facility 2 Grain Processing'!E146</f>
        <v>  20,208,249 </v>
      </c>
      <c r="D9" s="116" t="str">
        <f>'13.Facility 2 Grain Processing'!F146</f>
        <v>  24,256,547 </v>
      </c>
      <c r="E9" s="116" t="str">
        <f>'13.Facility 2 Grain Processing'!G146</f>
        <v>  28,659,153 </v>
      </c>
      <c r="F9" s="116" t="str">
        <f>'13.Facility 2 Grain Processing'!H146</f>
        <v>  33,441,379 </v>
      </c>
      <c r="G9" s="116" t="str">
        <f>'13.Facility 2 Grain Processing'!I146</f>
        <v>  38,630,180 </v>
      </c>
      <c r="H9" s="116" t="str">
        <f>'13.Facility 2 Grain Processing'!J146</f>
        <v>  44,254,257 </v>
      </c>
    </row>
    <row r="10" ht="14.25" customHeight="1">
      <c r="A10" s="73" t="s">
        <v>777</v>
      </c>
      <c r="B10" s="116" t="str">
        <f>'14. Facility 3 Warehouse'!D23</f>
        <v>  2,280,960 </v>
      </c>
      <c r="C10" s="116" t="str">
        <f>'14. Facility 3 Warehouse'!E23</f>
        <v>  2,544,696 </v>
      </c>
      <c r="D10" s="116" t="str">
        <f>'14. Facility 3 Warehouse'!F23</f>
        <v>  2,829,103 </v>
      </c>
      <c r="E10" s="116" t="str">
        <f>'14. Facility 3 Warehouse'!G23</f>
        <v>  3,135,589 </v>
      </c>
      <c r="F10" s="116" t="str">
        <f>'14. Facility 3 Warehouse'!H23</f>
        <v>  3,465,651 </v>
      </c>
      <c r="G10" s="116" t="str">
        <f>'14. Facility 3 Warehouse'!I23</f>
        <v>  3,638,934 </v>
      </c>
      <c r="H10" s="116" t="str">
        <f>'14. Facility 3 Warehouse'!J23</f>
        <v>  3,820,881 </v>
      </c>
    </row>
    <row r="11" ht="14.25" customHeight="1">
      <c r="A11" s="73" t="s">
        <v>778</v>
      </c>
      <c r="B11" s="116" t="str">
        <f>'15. Facility 4 Custom Hiring'!E37</f>
        <v>  2,056,000 </v>
      </c>
      <c r="C11" s="116" t="str">
        <f>'15. Facility 4 Custom Hiring'!F37</f>
        <v>  2,158,800 </v>
      </c>
      <c r="D11" s="116" t="str">
        <f>'15. Facility 4 Custom Hiring'!G37</f>
        <v>  2,266,740 </v>
      </c>
      <c r="E11" s="116" t="str">
        <f>'15. Facility 4 Custom Hiring'!H37</f>
        <v>  2,380,077 </v>
      </c>
      <c r="F11" s="116" t="str">
        <f>'15. Facility 4 Custom Hiring'!I37</f>
        <v>  2,499,081 </v>
      </c>
      <c r="G11" s="116" t="str">
        <f>'15. Facility 4 Custom Hiring'!J37</f>
        <v>  2,624,035 </v>
      </c>
      <c r="H11" s="116" t="str">
        <f>'15. Facility 4 Custom Hiring'!K37</f>
        <v>  2,755,237 </v>
      </c>
    </row>
    <row r="12" ht="14.25" customHeight="1">
      <c r="A12" s="73" t="s">
        <v>779</v>
      </c>
      <c r="B12" s="116" t="str">
        <f>'16.Facility 5 Agri Input'!D191</f>
        <v>  -   </v>
      </c>
      <c r="C12" s="116" t="str">
        <f>'16.Facility 5 Agri Input'!E191</f>
        <v>  -   </v>
      </c>
      <c r="D12" s="116" t="str">
        <f>'16.Facility 5 Agri Input'!F191</f>
        <v>  -   </v>
      </c>
      <c r="E12" s="116" t="str">
        <f>'16.Facility 5 Agri Input'!G191</f>
        <v>  -   </v>
      </c>
      <c r="F12" s="116" t="str">
        <f>'16.Facility 5 Agri Input'!H191</f>
        <v>  -   </v>
      </c>
      <c r="G12" s="116" t="str">
        <f>'16.Facility 5 Agri Input'!I191</f>
        <v>  -   </v>
      </c>
      <c r="H12" s="116" t="str">
        <f>'16.Facility 5 Agri Input'!J191</f>
        <v>  -   </v>
      </c>
    </row>
    <row r="13" ht="14.25" customHeight="1">
      <c r="A13" s="73" t="s">
        <v>410</v>
      </c>
      <c r="B13" s="116" t="str">
        <f>'17.Facility 6 Horti Processing '!D159</f>
        <v>  -   </v>
      </c>
      <c r="C13" s="116" t="str">
        <f>'17.Facility 6 Horti Processing '!E159</f>
        <v>  -   </v>
      </c>
      <c r="D13" s="116" t="str">
        <f>'17.Facility 6 Horti Processing '!F159</f>
        <v>  -   </v>
      </c>
      <c r="E13" s="116" t="str">
        <f>'17.Facility 6 Horti Processing '!G159</f>
        <v>  -   </v>
      </c>
      <c r="F13" s="116" t="str">
        <f>'17.Facility 6 Horti Processing '!H159</f>
        <v>  -   </v>
      </c>
      <c r="G13" s="116" t="str">
        <f>'17.Facility 6 Horti Processing '!I159</f>
        <v>  -   </v>
      </c>
      <c r="H13" s="116" t="str">
        <f>'17.Facility 6 Horti Processing '!J159</f>
        <v>  -   </v>
      </c>
    </row>
    <row r="14" ht="14.25" customHeight="1">
      <c r="A14" s="73"/>
      <c r="B14" s="116"/>
      <c r="C14" s="116"/>
      <c r="D14" s="116"/>
      <c r="E14" s="116"/>
      <c r="F14" s="116"/>
      <c r="G14" s="116"/>
      <c r="H14" s="116"/>
    </row>
    <row r="15" ht="14.25" customHeight="1">
      <c r="A15" s="117" t="s">
        <v>411</v>
      </c>
      <c r="B15" s="118" t="str">
        <f t="shared" ref="B15:H15" si="1">SUM(B8:B14)</f>
        <v>  20,616,425 </v>
      </c>
      <c r="C15" s="118" t="str">
        <f t="shared" si="1"/>
        <v>  24,911,745 </v>
      </c>
      <c r="D15" s="118" t="str">
        <f t="shared" si="1"/>
        <v>  29,352,390 </v>
      </c>
      <c r="E15" s="118" t="str">
        <f t="shared" si="1"/>
        <v>  34,174,820 </v>
      </c>
      <c r="F15" s="118" t="str">
        <f t="shared" si="1"/>
        <v>  39,406,111 </v>
      </c>
      <c r="G15" s="118" t="str">
        <f t="shared" si="1"/>
        <v>  44,893,149 </v>
      </c>
      <c r="H15" s="118" t="str">
        <f t="shared" si="1"/>
        <v>  50,830,374 </v>
      </c>
    </row>
    <row r="16" ht="14.25" customHeight="1">
      <c r="A16" s="73"/>
      <c r="B16" s="116"/>
      <c r="C16" s="116"/>
      <c r="D16" s="116"/>
      <c r="E16" s="116"/>
      <c r="F16" s="116"/>
      <c r="G16" s="116"/>
      <c r="H16" s="116"/>
    </row>
    <row r="17" ht="14.25" customHeight="1">
      <c r="A17" s="117" t="s">
        <v>412</v>
      </c>
      <c r="B17" s="116"/>
      <c r="C17" s="116"/>
      <c r="D17" s="116"/>
      <c r="E17" s="116"/>
      <c r="F17" s="116"/>
      <c r="G17" s="116"/>
      <c r="H17" s="116"/>
    </row>
    <row r="18" ht="14.25" customHeight="1">
      <c r="A18" s="73" t="str">
        <f t="shared" ref="A18:A23" si="2">A8</f>
        <v>Faclitiy 1 - Cleaning &amp; Grading</v>
      </c>
      <c r="B18" s="116" t="str">
        <f>'12.Facility 1 - Trading'!D201</f>
        <v>  -   </v>
      </c>
      <c r="C18" s="116" t="str">
        <f>'12.Facility 1 - Trading'!E201</f>
        <v>  -   </v>
      </c>
      <c r="D18" s="116" t="str">
        <f>'12.Facility 1 - Trading'!F201</f>
        <v>  -   </v>
      </c>
      <c r="E18" s="116" t="str">
        <f>'12.Facility 1 - Trading'!G201</f>
        <v>  -   </v>
      </c>
      <c r="F18" s="116" t="str">
        <f>'12.Facility 1 - Trading'!H201</f>
        <v>  -   </v>
      </c>
      <c r="G18" s="116" t="str">
        <f>'12.Facility 1 - Trading'!I201</f>
        <v>  -   </v>
      </c>
      <c r="H18" s="116" t="str">
        <f>'12.Facility 1 - Trading'!J201</f>
        <v>  -   </v>
      </c>
    </row>
    <row r="19" ht="14.25" customHeight="1">
      <c r="A19" s="73" t="str">
        <f t="shared" si="2"/>
        <v>Faclitiy 2 - Processing Unit- Dal Mill</v>
      </c>
      <c r="B19" s="116" t="str">
        <f>'13.Facility 2 Grain Processing'!D165</f>
        <v>  12,114,412 </v>
      </c>
      <c r="C19" s="116" t="str">
        <f>'13.Facility 2 Grain Processing'!E165</f>
        <v>  15,087,388 </v>
      </c>
      <c r="D19" s="116" t="str">
        <f>'13.Facility 2 Grain Processing'!F165</f>
        <v>  18,111,046 </v>
      </c>
      <c r="E19" s="116" t="str">
        <f>'13.Facility 2 Grain Processing'!G165</f>
        <v>  21,399,352 </v>
      </c>
      <c r="F19" s="116" t="str">
        <f>'13.Facility 2 Grain Processing'!H165</f>
        <v>  24,971,211 </v>
      </c>
      <c r="G19" s="116" t="str">
        <f>'13.Facility 2 Grain Processing'!I165</f>
        <v>  28,846,757 </v>
      </c>
      <c r="H19" s="116" t="str">
        <f>'13.Facility 2 Grain Processing'!J165</f>
        <v>  33,047,430 </v>
      </c>
    </row>
    <row r="20" ht="14.25" customHeight="1">
      <c r="A20" s="73" t="str">
        <f t="shared" si="2"/>
        <v>Faclitiy 3 - Warehouse</v>
      </c>
      <c r="B20" s="116" t="str">
        <f>'14. Facility 3 Warehouse'!D34</f>
        <v>  698,160 </v>
      </c>
      <c r="C20" s="116" t="str">
        <f>'14. Facility 3 Warehouse'!E34</f>
        <v>  745,542 </v>
      </c>
      <c r="D20" s="116" t="str">
        <f>'14. Facility 3 Warehouse'!F34</f>
        <v>  795,917 </v>
      </c>
      <c r="E20" s="116" t="str">
        <f>'14. Facility 3 Warehouse'!G34</f>
        <v>  849,465 </v>
      </c>
      <c r="F20" s="116" t="str">
        <f>'14. Facility 3 Warehouse'!H34</f>
        <v>  906,379 </v>
      </c>
      <c r="G20" s="116" t="str">
        <f>'14. Facility 3 Warehouse'!I34</f>
        <v>  951,698 </v>
      </c>
      <c r="H20" s="116" t="str">
        <f>'14. Facility 3 Warehouse'!J34</f>
        <v>  999,283 </v>
      </c>
    </row>
    <row r="21" ht="14.25" customHeight="1">
      <c r="A21" s="73" t="str">
        <f t="shared" si="2"/>
        <v>Faclitiy 4 - Custom Hiring </v>
      </c>
      <c r="B21" s="116" t="str">
        <f>'15. Facility 4 Custom Hiring'!E47</f>
        <v>  1,111,000 </v>
      </c>
      <c r="C21" s="116" t="str">
        <f>'15. Facility 4 Custom Hiring'!F47</f>
        <v>  1,166,550 </v>
      </c>
      <c r="D21" s="116" t="str">
        <f>'15. Facility 4 Custom Hiring'!G47</f>
        <v>  1,224,878 </v>
      </c>
      <c r="E21" s="116" t="str">
        <f>'15. Facility 4 Custom Hiring'!H47</f>
        <v>  1,286,121 </v>
      </c>
      <c r="F21" s="116" t="str">
        <f>'15. Facility 4 Custom Hiring'!I47</f>
        <v>  1,350,427 </v>
      </c>
      <c r="G21" s="116" t="str">
        <f>'15. Facility 4 Custom Hiring'!J47</f>
        <v>  1,417,949 </v>
      </c>
      <c r="H21" s="116" t="str">
        <f>'15. Facility 4 Custom Hiring'!K47</f>
        <v>  1,488,846 </v>
      </c>
    </row>
    <row r="22" ht="14.25" customHeight="1">
      <c r="A22" s="73" t="str">
        <f t="shared" si="2"/>
        <v>Faclitiy 5 - Agri Input Centre</v>
      </c>
      <c r="B22" s="116" t="str">
        <f>'16.Facility 5 Agri Input'!D263</f>
        <v>  -   </v>
      </c>
      <c r="C22" s="116" t="str">
        <f>'16.Facility 5 Agri Input'!E263</f>
        <v>  -   </v>
      </c>
      <c r="D22" s="116" t="str">
        <f>'16.Facility 5 Agri Input'!F263</f>
        <v>  -   </v>
      </c>
      <c r="E22" s="116" t="str">
        <f>'16.Facility 5 Agri Input'!G263</f>
        <v>  -   </v>
      </c>
      <c r="F22" s="116" t="str">
        <f>'16.Facility 5 Agri Input'!H263</f>
        <v>  -   </v>
      </c>
      <c r="G22" s="116" t="str">
        <f>'16.Facility 5 Agri Input'!I263</f>
        <v>  -   </v>
      </c>
      <c r="H22" s="116" t="str">
        <f>'16.Facility 5 Agri Input'!J263</f>
        <v>  -   </v>
      </c>
    </row>
    <row r="23" ht="14.25" customHeight="1">
      <c r="A23" s="73" t="str">
        <f t="shared" si="2"/>
        <v>Facility 6 - Processing Unit - Horti Commodity</v>
      </c>
      <c r="B23" s="116" t="str">
        <f>'17.Facility 6 Horti Processing '!D177</f>
        <v>  -   </v>
      </c>
      <c r="C23" s="116" t="str">
        <f>'17.Facility 6 Horti Processing '!E177</f>
        <v>  -   </v>
      </c>
      <c r="D23" s="116" t="str">
        <f>'17.Facility 6 Horti Processing '!F177</f>
        <v>  -   </v>
      </c>
      <c r="E23" s="116" t="str">
        <f>'17.Facility 6 Horti Processing '!G177</f>
        <v>  -   </v>
      </c>
      <c r="F23" s="116" t="str">
        <f>'17.Facility 6 Horti Processing '!H177</f>
        <v>  -   </v>
      </c>
      <c r="G23" s="116" t="str">
        <f>'17.Facility 6 Horti Processing '!I177</f>
        <v>  -   </v>
      </c>
      <c r="H23" s="116" t="str">
        <f>'17.Facility 6 Horti Processing '!J177</f>
        <v>  -   </v>
      </c>
    </row>
    <row r="24" ht="14.25" customHeight="1">
      <c r="A24" s="73"/>
      <c r="B24" s="116"/>
      <c r="C24" s="116"/>
      <c r="D24" s="116"/>
      <c r="E24" s="116"/>
      <c r="F24" s="116"/>
      <c r="G24" s="116"/>
      <c r="H24" s="116"/>
    </row>
    <row r="25" ht="14.25" customHeight="1">
      <c r="A25" s="117" t="s">
        <v>413</v>
      </c>
      <c r="B25" s="118" t="str">
        <f t="shared" ref="B25:H25" si="3">SUM(B18:B24)</f>
        <v>  13,923,572 </v>
      </c>
      <c r="C25" s="118" t="str">
        <f t="shared" si="3"/>
        <v>  16,999,480 </v>
      </c>
      <c r="D25" s="118" t="str">
        <f t="shared" si="3"/>
        <v>  20,131,840 </v>
      </c>
      <c r="E25" s="118" t="str">
        <f t="shared" si="3"/>
        <v>  23,534,939 </v>
      </c>
      <c r="F25" s="118" t="str">
        <f t="shared" si="3"/>
        <v>  27,228,017 </v>
      </c>
      <c r="G25" s="118" t="str">
        <f t="shared" si="3"/>
        <v>  31,216,403 </v>
      </c>
      <c r="H25" s="118" t="str">
        <f t="shared" si="3"/>
        <v>  35,535,558 </v>
      </c>
    </row>
    <row r="26" ht="14.25" customHeight="1">
      <c r="A26" s="73"/>
      <c r="B26" s="116"/>
      <c r="C26" s="116"/>
      <c r="D26" s="116"/>
      <c r="E26" s="116"/>
      <c r="F26" s="116"/>
      <c r="G26" s="116"/>
      <c r="H26" s="116"/>
    </row>
    <row r="27" ht="14.25" customHeight="1">
      <c r="A27" s="117" t="s">
        <v>414</v>
      </c>
      <c r="B27" s="116"/>
      <c r="C27" s="116"/>
      <c r="D27" s="116"/>
      <c r="E27" s="116"/>
      <c r="F27" s="116"/>
      <c r="G27" s="116"/>
      <c r="H27" s="116"/>
    </row>
    <row r="28" ht="14.25" customHeight="1">
      <c r="A28" s="73" t="str">
        <f t="shared" ref="A28:A33" si="4">A18</f>
        <v>Faclitiy 1 - Cleaning &amp; Grading</v>
      </c>
      <c r="B28" s="116" t="str">
        <f>'12.Facility 1 - Trading'!D207</f>
        <v>  -   </v>
      </c>
      <c r="C28" s="116" t="str">
        <f>'12.Facility 1 - Trading'!E207</f>
        <v>  -   </v>
      </c>
      <c r="D28" s="116" t="str">
        <f>'12.Facility 1 - Trading'!F207</f>
        <v>  -   </v>
      </c>
      <c r="E28" s="116" t="str">
        <f>'12.Facility 1 - Trading'!G207</f>
        <v>  -   </v>
      </c>
      <c r="F28" s="116" t="str">
        <f>'12.Facility 1 - Trading'!H207</f>
        <v>  -   </v>
      </c>
      <c r="G28" s="116" t="str">
        <f>'12.Facility 1 - Trading'!I207</f>
        <v>  -   </v>
      </c>
      <c r="H28" s="116" t="str">
        <f>'12.Facility 1 - Trading'!J207</f>
        <v>  -   </v>
      </c>
    </row>
    <row r="29" ht="14.25" customHeight="1">
      <c r="A29" s="73" t="str">
        <f t="shared" si="4"/>
        <v>Faclitiy 2 - Processing Unit- Dal Mill</v>
      </c>
      <c r="B29" s="116" t="str">
        <f>'13.Facility 2 Grain Processing'!D171</f>
        <v>  120,000 </v>
      </c>
      <c r="C29" s="116" t="str">
        <f>'13.Facility 2 Grain Processing'!E171</f>
        <v>  126,000 </v>
      </c>
      <c r="D29" s="116" t="str">
        <f>'13.Facility 2 Grain Processing'!F171</f>
        <v>  132,300 </v>
      </c>
      <c r="E29" s="116" t="str">
        <f>'13.Facility 2 Grain Processing'!G171</f>
        <v>  138,915 </v>
      </c>
      <c r="F29" s="116" t="str">
        <f>'13.Facility 2 Grain Processing'!H171</f>
        <v>  145,861 </v>
      </c>
      <c r="G29" s="116" t="str">
        <f>'13.Facility 2 Grain Processing'!I171</f>
        <v>  153,154 </v>
      </c>
      <c r="H29" s="116" t="str">
        <f>'13.Facility 2 Grain Processing'!J171</f>
        <v>  160,811 </v>
      </c>
    </row>
    <row r="30" ht="14.25" customHeight="1">
      <c r="A30" s="73" t="str">
        <f t="shared" si="4"/>
        <v>Faclitiy 3 - Warehouse</v>
      </c>
      <c r="B30" s="116" t="str">
        <f>'14. Facility 3 Warehouse'!D42</f>
        <v>  120,000 </v>
      </c>
      <c r="C30" s="116" t="str">
        <f>'14. Facility 3 Warehouse'!E42</f>
        <v>  126,000 </v>
      </c>
      <c r="D30" s="116" t="str">
        <f>'14. Facility 3 Warehouse'!F42</f>
        <v>  132,300 </v>
      </c>
      <c r="E30" s="116" t="str">
        <f>'14. Facility 3 Warehouse'!G42</f>
        <v>  138,915 </v>
      </c>
      <c r="F30" s="116" t="str">
        <f>'14. Facility 3 Warehouse'!H42</f>
        <v>  145,861 </v>
      </c>
      <c r="G30" s="116" t="str">
        <f>'14. Facility 3 Warehouse'!I42</f>
        <v>  153,154 </v>
      </c>
      <c r="H30" s="116" t="str">
        <f>'14. Facility 3 Warehouse'!J42</f>
        <v>  160,811 </v>
      </c>
    </row>
    <row r="31" ht="14.25" customHeight="1">
      <c r="A31" s="73" t="str">
        <f t="shared" si="4"/>
        <v>Faclitiy 4 - Custom Hiring </v>
      </c>
      <c r="B31" s="116" t="str">
        <f>'15. Facility 4 Custom Hiring'!E52</f>
        <v>  120,000 </v>
      </c>
      <c r="C31" s="116" t="str">
        <f>'15. Facility 4 Custom Hiring'!F52</f>
        <v>  126,000 </v>
      </c>
      <c r="D31" s="116" t="str">
        <f>'15. Facility 4 Custom Hiring'!G52</f>
        <v>  132,300 </v>
      </c>
      <c r="E31" s="116" t="str">
        <f>'15. Facility 4 Custom Hiring'!H52</f>
        <v>  138,915 </v>
      </c>
      <c r="F31" s="116" t="str">
        <f>'15. Facility 4 Custom Hiring'!I52</f>
        <v>  145,861 </v>
      </c>
      <c r="G31" s="116" t="str">
        <f>'15. Facility 4 Custom Hiring'!J52</f>
        <v>  153,154 </v>
      </c>
      <c r="H31" s="116" t="str">
        <f>'15. Facility 4 Custom Hiring'!K52</f>
        <v>  160,811 </v>
      </c>
    </row>
    <row r="32" ht="14.25" customHeight="1">
      <c r="A32" s="73" t="str">
        <f t="shared" si="4"/>
        <v>Faclitiy 5 - Agri Input Centre</v>
      </c>
      <c r="B32" s="116" t="str">
        <f>'16.Facility 5 Agri Input'!D274</f>
        <v>  -   </v>
      </c>
      <c r="C32" s="116" t="str">
        <f>'16.Facility 5 Agri Input'!E274</f>
        <v>  -   </v>
      </c>
      <c r="D32" s="116" t="str">
        <f>'16.Facility 5 Agri Input'!F274</f>
        <v>  -   </v>
      </c>
      <c r="E32" s="116" t="str">
        <f>'16.Facility 5 Agri Input'!G274</f>
        <v>  -   </v>
      </c>
      <c r="F32" s="116" t="str">
        <f>'16.Facility 5 Agri Input'!H274</f>
        <v>  -   </v>
      </c>
      <c r="G32" s="116" t="str">
        <f>'16.Facility 5 Agri Input'!I274</f>
        <v>  -   </v>
      </c>
      <c r="H32" s="116" t="str">
        <f>'16.Facility 5 Agri Input'!J274</f>
        <v>  -   </v>
      </c>
    </row>
    <row r="33" ht="14.25" customHeight="1">
      <c r="A33" s="73" t="str">
        <f t="shared" si="4"/>
        <v>Facility 6 - Processing Unit - Horti Commodity</v>
      </c>
      <c r="B33" s="116" t="str">
        <f>'17.Facility 6 Horti Processing '!D185</f>
        <v>  -   </v>
      </c>
      <c r="C33" s="116" t="str">
        <f>'17.Facility 6 Horti Processing '!E185</f>
        <v>  -   </v>
      </c>
      <c r="D33" s="116" t="str">
        <f>'17.Facility 6 Horti Processing '!F185</f>
        <v>  -   </v>
      </c>
      <c r="E33" s="116" t="str">
        <f>'17.Facility 6 Horti Processing '!G185</f>
        <v>  -   </v>
      </c>
      <c r="F33" s="116" t="str">
        <f>'17.Facility 6 Horti Processing '!H185</f>
        <v>  -   </v>
      </c>
      <c r="G33" s="116" t="str">
        <f>'17.Facility 6 Horti Processing '!I185</f>
        <v>  -   </v>
      </c>
      <c r="H33" s="116" t="str">
        <f>'17.Facility 6 Horti Processing '!J185</f>
        <v>  -   </v>
      </c>
    </row>
    <row r="34" ht="14.25" customHeight="1">
      <c r="A34" s="73"/>
      <c r="B34" s="116"/>
      <c r="C34" s="116"/>
      <c r="D34" s="116"/>
      <c r="E34" s="116"/>
      <c r="F34" s="116"/>
      <c r="G34" s="116"/>
      <c r="H34" s="116"/>
    </row>
    <row r="35" ht="14.25" customHeight="1">
      <c r="A35" s="73" t="s">
        <v>415</v>
      </c>
      <c r="B35" s="116" t="str">
        <f>'3.Other Exp &amp; Taxes'!E23</f>
        <v>  844,000 </v>
      </c>
      <c r="C35" s="116" t="str">
        <f>'3.Other Exp &amp; Taxes'!F23</f>
        <v>  886,200 </v>
      </c>
      <c r="D35" s="116" t="str">
        <f>'3.Other Exp &amp; Taxes'!G23</f>
        <v>  930,510 </v>
      </c>
      <c r="E35" s="116" t="str">
        <f>'3.Other Exp &amp; Taxes'!H23</f>
        <v>  977,036 </v>
      </c>
      <c r="F35" s="116" t="str">
        <f>'3.Other Exp &amp; Taxes'!I23</f>
        <v>  1,025,887 </v>
      </c>
      <c r="G35" s="116" t="str">
        <f>'3.Other Exp &amp; Taxes'!J23</f>
        <v>  1,077,182 </v>
      </c>
      <c r="H35" s="116" t="str">
        <f>'3.Other Exp &amp; Taxes'!K23</f>
        <v>  1,131,041 </v>
      </c>
    </row>
    <row r="36" ht="14.25" customHeight="1">
      <c r="A36" s="117" t="s">
        <v>416</v>
      </c>
      <c r="B36" s="118" t="str">
        <f t="shared" ref="B36:H36" si="5">SUM(B28:B35)</f>
        <v>  1,204,000 </v>
      </c>
      <c r="C36" s="118" t="str">
        <f t="shared" si="5"/>
        <v>  1,264,200 </v>
      </c>
      <c r="D36" s="118" t="str">
        <f t="shared" si="5"/>
        <v>  1,327,410 </v>
      </c>
      <c r="E36" s="118" t="str">
        <f t="shared" si="5"/>
        <v>  1,393,781 </v>
      </c>
      <c r="F36" s="118" t="str">
        <f t="shared" si="5"/>
        <v>  1,463,470 </v>
      </c>
      <c r="G36" s="118" t="str">
        <f t="shared" si="5"/>
        <v>  1,536,643 </v>
      </c>
      <c r="H36" s="118" t="str">
        <f t="shared" si="5"/>
        <v>  1,613,475 </v>
      </c>
    </row>
    <row r="37" ht="14.25" customHeight="1">
      <c r="A37" s="73"/>
      <c r="B37" s="116"/>
      <c r="C37" s="116"/>
      <c r="D37" s="116"/>
      <c r="E37" s="116"/>
      <c r="F37" s="116"/>
      <c r="G37" s="116"/>
      <c r="H37" s="116"/>
    </row>
    <row r="38" ht="14.25" customHeight="1">
      <c r="A38" s="117" t="s">
        <v>417</v>
      </c>
      <c r="B38" s="118" t="str">
        <f t="shared" ref="B38:H38" si="6">B25+B36</f>
        <v>  15,127,572 </v>
      </c>
      <c r="C38" s="118" t="str">
        <f t="shared" si="6"/>
        <v>  18,263,680 </v>
      </c>
      <c r="D38" s="118" t="str">
        <f t="shared" si="6"/>
        <v>  21,459,250 </v>
      </c>
      <c r="E38" s="118" t="str">
        <f t="shared" si="6"/>
        <v>  24,928,719 </v>
      </c>
      <c r="F38" s="118" t="str">
        <f t="shared" si="6"/>
        <v>  28,691,486 </v>
      </c>
      <c r="G38" s="118" t="str">
        <f t="shared" si="6"/>
        <v>  32,753,046 </v>
      </c>
      <c r="H38" s="118" t="str">
        <f t="shared" si="6"/>
        <v>  37,149,034 </v>
      </c>
    </row>
    <row r="39" ht="14.25" customHeight="1">
      <c r="A39" s="73"/>
      <c r="B39" s="116"/>
      <c r="C39" s="116"/>
      <c r="D39" s="116"/>
      <c r="E39" s="116"/>
      <c r="F39" s="116"/>
      <c r="G39" s="116"/>
      <c r="H39" s="116"/>
    </row>
    <row r="40" ht="14.25" customHeight="1">
      <c r="A40" s="117" t="s">
        <v>418</v>
      </c>
      <c r="B40" s="118" t="str">
        <f t="shared" ref="B40:H40" si="7">B15-B38</f>
        <v>  5,488,853 </v>
      </c>
      <c r="C40" s="118" t="str">
        <f t="shared" si="7"/>
        <v>  6,648,065 </v>
      </c>
      <c r="D40" s="118" t="str">
        <f t="shared" si="7"/>
        <v>  7,893,139 </v>
      </c>
      <c r="E40" s="118" t="str">
        <f t="shared" si="7"/>
        <v>  9,246,101 </v>
      </c>
      <c r="F40" s="118" t="str">
        <f t="shared" si="7"/>
        <v>  10,714,625 </v>
      </c>
      <c r="G40" s="118" t="str">
        <f t="shared" si="7"/>
        <v>  12,140,102 </v>
      </c>
      <c r="H40" s="118" t="str">
        <f t="shared" si="7"/>
        <v>  13,681,341 </v>
      </c>
    </row>
    <row r="41" ht="14.25" customHeight="1">
      <c r="A41" s="73"/>
      <c r="B41" s="116"/>
      <c r="C41" s="116"/>
      <c r="D41" s="116"/>
      <c r="E41" s="116"/>
      <c r="F41" s="116"/>
      <c r="G41" s="116"/>
      <c r="H41" s="116"/>
    </row>
    <row r="42" ht="14.25" customHeight="1">
      <c r="A42" s="73" t="s">
        <v>220</v>
      </c>
      <c r="B42" s="116" t="str">
        <f>'3.Other Exp &amp; Taxes'!C66</f>
        <v>  1,203,736 </v>
      </c>
      <c r="C42" s="116" t="str">
        <f>'3.Other Exp &amp; Taxes'!D66</f>
        <v>  1,203,736 </v>
      </c>
      <c r="D42" s="116" t="str">
        <f>'3.Other Exp &amp; Taxes'!E66</f>
        <v>  1,203,736 </v>
      </c>
      <c r="E42" s="116" t="str">
        <f>'3.Other Exp &amp; Taxes'!F66</f>
        <v>  1,203,736 </v>
      </c>
      <c r="F42" s="116" t="str">
        <f>'3.Other Exp &amp; Taxes'!G66</f>
        <v>  1,203,736 </v>
      </c>
      <c r="G42" s="116" t="str">
        <f>'3.Other Exp &amp; Taxes'!H66</f>
        <v>  1,203,736 </v>
      </c>
      <c r="H42" s="116" t="str">
        <f>'3.Other Exp &amp; Taxes'!I66</f>
        <v>  1,203,736 </v>
      </c>
    </row>
    <row r="43" ht="14.25" customHeight="1">
      <c r="A43" s="73" t="s">
        <v>419</v>
      </c>
      <c r="B43" s="116" t="str">
        <f>'3.Other Exp &amp; Taxes'!C87</f>
        <v>  149,729 </v>
      </c>
      <c r="C43" s="116" t="str">
        <f>'3.Other Exp &amp; Taxes'!D87</f>
        <v>  149,729 </v>
      </c>
      <c r="D43" s="116" t="str">
        <f>'3.Other Exp &amp; Taxes'!E87</f>
        <v>  149,729 </v>
      </c>
      <c r="E43" s="116" t="str">
        <f>'3.Other Exp &amp; Taxes'!F87</f>
        <v>  149,729 </v>
      </c>
      <c r="F43" s="116" t="str">
        <f>'3.Other Exp &amp; Taxes'!G87</f>
        <v>  149,729 </v>
      </c>
      <c r="G43" s="116" t="str">
        <f>'3.Other Exp &amp; Taxes'!H87</f>
        <v>  -   </v>
      </c>
      <c r="H43" s="116" t="str">
        <f>'3.Other Exp &amp; Taxes'!I87</f>
        <v>  -   </v>
      </c>
    </row>
    <row r="44" ht="14.25" customHeight="1">
      <c r="A44" s="73"/>
      <c r="B44" s="116"/>
      <c r="C44" s="116"/>
      <c r="D44" s="116"/>
      <c r="E44" s="116"/>
      <c r="F44" s="116"/>
      <c r="G44" s="116"/>
      <c r="H44" s="116"/>
    </row>
    <row r="45" ht="14.25" customHeight="1">
      <c r="A45" s="117" t="s">
        <v>420</v>
      </c>
      <c r="B45" s="118" t="str">
        <f t="shared" ref="B45:H45" si="8">B40-B42-B43</f>
        <v>  4,135,388 </v>
      </c>
      <c r="C45" s="118" t="str">
        <f t="shared" si="8"/>
        <v>  5,294,601 </v>
      </c>
      <c r="D45" s="118" t="str">
        <f t="shared" si="8"/>
        <v>  6,539,675 </v>
      </c>
      <c r="E45" s="118" t="str">
        <f t="shared" si="8"/>
        <v>  7,892,636 </v>
      </c>
      <c r="F45" s="118" t="str">
        <f t="shared" si="8"/>
        <v>  9,361,160 </v>
      </c>
      <c r="G45" s="118" t="str">
        <f t="shared" si="8"/>
        <v>  10,936,367 </v>
      </c>
      <c r="H45" s="118" t="str">
        <f t="shared" si="8"/>
        <v>  12,477,605 </v>
      </c>
    </row>
    <row r="46" ht="14.25" customHeight="1">
      <c r="A46" s="73"/>
      <c r="B46" s="116"/>
      <c r="C46" s="116"/>
      <c r="D46" s="116"/>
      <c r="E46" s="116"/>
      <c r="F46" s="116"/>
      <c r="G46" s="116"/>
      <c r="H46" s="116"/>
    </row>
    <row r="47" ht="14.25" customHeight="1">
      <c r="A47" s="73" t="s">
        <v>780</v>
      </c>
      <c r="B47" s="116" t="str">
        <f>SUM(D76:D87)+'8.Cash Flow '!C29</f>
        <v>  1,747,969 </v>
      </c>
      <c r="C47" s="116" t="str">
        <f>SUM(D88:D99)+'8.Cash Flow '!D29</f>
        <v>  1,632,717 </v>
      </c>
      <c r="D47" s="116" t="str">
        <f>SUM(D100:D111)+'8.Cash Flow '!E29</f>
        <v>  1,447,325 </v>
      </c>
      <c r="E47" s="116" t="str">
        <f>SUM(D112:D123)+'8.Cash Flow '!F29</f>
        <v>  1,237,592 </v>
      </c>
      <c r="F47" s="116" t="str">
        <f>SUM(D124:D135)+'8.Cash Flow '!G29</f>
        <v>  1,000,331 </v>
      </c>
      <c r="G47" s="116" t="str">
        <f>SUM(D136:D147)+'8.Cash Flow '!H29</f>
        <v>  731,144 </v>
      </c>
      <c r="H47" s="116" t="str">
        <f>SUM(D148:D159)+'8.Cash Flow '!I29</f>
        <v>  426,689 </v>
      </c>
    </row>
    <row r="48" ht="14.25" customHeight="1">
      <c r="A48" s="73"/>
      <c r="B48" s="116"/>
      <c r="C48" s="116"/>
      <c r="D48" s="116"/>
      <c r="E48" s="116"/>
      <c r="F48" s="116"/>
      <c r="G48" s="116"/>
      <c r="H48" s="116"/>
    </row>
    <row r="49" ht="14.25" customHeight="1">
      <c r="A49" s="73" t="s">
        <v>422</v>
      </c>
      <c r="B49" s="116" t="str">
        <f t="shared" ref="B49:H49" si="9">B45-B47</f>
        <v>  2,387,419 </v>
      </c>
      <c r="C49" s="116" t="str">
        <f t="shared" si="9"/>
        <v>  3,661,883 </v>
      </c>
      <c r="D49" s="116" t="str">
        <f t="shared" si="9"/>
        <v>  5,092,349 </v>
      </c>
      <c r="E49" s="116" t="str">
        <f t="shared" si="9"/>
        <v>  6,655,044 </v>
      </c>
      <c r="F49" s="116" t="str">
        <f t="shared" si="9"/>
        <v>  8,360,829 </v>
      </c>
      <c r="G49" s="116" t="str">
        <f t="shared" si="9"/>
        <v>  10,205,223 </v>
      </c>
      <c r="H49" s="116" t="str">
        <f t="shared" si="9"/>
        <v>  12,050,916 </v>
      </c>
    </row>
    <row r="50" ht="14.25" customHeight="1">
      <c r="A50" s="73" t="s">
        <v>423</v>
      </c>
      <c r="B50" s="394" t="str">
        <f t="shared" ref="B50:H50" si="10">B61</f>
        <v>  31,611 </v>
      </c>
      <c r="C50" s="394" t="str">
        <f t="shared" si="10"/>
        <v>  466,042 </v>
      </c>
      <c r="D50" s="394" t="str">
        <f t="shared" si="10"/>
        <v>  928,798 </v>
      </c>
      <c r="E50" s="394" t="str">
        <f t="shared" si="10"/>
        <v>  1,415,209 </v>
      </c>
      <c r="F50" s="394" t="str">
        <f t="shared" si="10"/>
        <v>  1,929,419 </v>
      </c>
      <c r="G50" s="394" t="str">
        <f t="shared" si="10"/>
        <v>  2,471,412 </v>
      </c>
      <c r="H50" s="394" t="str">
        <f t="shared" si="10"/>
        <v>  3,006,491 </v>
      </c>
    </row>
    <row r="51" ht="14.25" customHeight="1">
      <c r="A51" s="117" t="s">
        <v>424</v>
      </c>
      <c r="B51" s="116" t="str">
        <f t="shared" ref="B51:H51" si="11">B49-B50</f>
        <v>  2,355,808 </v>
      </c>
      <c r="C51" s="116" t="str">
        <f t="shared" si="11"/>
        <v>  3,195,841 </v>
      </c>
      <c r="D51" s="116" t="str">
        <f t="shared" si="11"/>
        <v>  4,163,552 </v>
      </c>
      <c r="E51" s="116" t="str">
        <f t="shared" si="11"/>
        <v>  5,239,835 </v>
      </c>
      <c r="F51" s="116" t="str">
        <f t="shared" si="11"/>
        <v>  6,431,410 </v>
      </c>
      <c r="G51" s="116" t="str">
        <f t="shared" si="11"/>
        <v>  7,733,811 </v>
      </c>
      <c r="H51" s="116" t="str">
        <f t="shared" si="11"/>
        <v>  9,044,425 </v>
      </c>
    </row>
    <row r="52" ht="14.25" customHeight="1"/>
    <row r="53" ht="14.25" customHeight="1">
      <c r="A53" s="153"/>
      <c r="B53" s="142"/>
      <c r="C53" s="142"/>
      <c r="D53" s="142"/>
      <c r="E53" s="142"/>
      <c r="F53" s="142"/>
      <c r="G53" s="142"/>
      <c r="H53" s="142"/>
    </row>
    <row r="54" ht="14.25" customHeight="1">
      <c r="A54" s="121" t="s">
        <v>242</v>
      </c>
    </row>
    <row r="55" ht="14.25" customHeight="1">
      <c r="A55" s="143"/>
      <c r="B55" s="142"/>
      <c r="C55" s="142"/>
      <c r="D55" s="142"/>
      <c r="E55" s="142"/>
      <c r="F55" s="142"/>
      <c r="G55" s="142"/>
      <c r="H55" s="142"/>
    </row>
    <row r="56" ht="14.25" customHeight="1">
      <c r="A56" s="114" t="s">
        <v>190</v>
      </c>
      <c r="B56" s="115" t="s">
        <v>193</v>
      </c>
      <c r="C56" s="115" t="s">
        <v>194</v>
      </c>
      <c r="D56" s="115" t="s">
        <v>195</v>
      </c>
      <c r="E56" s="115" t="s">
        <v>196</v>
      </c>
      <c r="F56" s="115" t="s">
        <v>197</v>
      </c>
      <c r="G56" s="115" t="s">
        <v>198</v>
      </c>
      <c r="H56" s="115" t="s">
        <v>199</v>
      </c>
    </row>
    <row r="57" ht="14.25" customHeight="1">
      <c r="A57" s="155" t="s">
        <v>243</v>
      </c>
      <c r="B57" s="156" t="str">
        <f t="shared" ref="B57:H57" si="12">B49</f>
        <v>2,387,419 </v>
      </c>
      <c r="C57" s="156" t="str">
        <f t="shared" si="12"/>
        <v>3,661,883 </v>
      </c>
      <c r="D57" s="156" t="str">
        <f t="shared" si="12"/>
        <v>5,092,349 </v>
      </c>
      <c r="E57" s="156" t="str">
        <f t="shared" si="12"/>
        <v>6,655,044 </v>
      </c>
      <c r="F57" s="156" t="str">
        <f t="shared" si="12"/>
        <v>8,360,829 </v>
      </c>
      <c r="G57" s="156" t="str">
        <f t="shared" si="12"/>
        <v>10,205,223 </v>
      </c>
      <c r="H57" s="156" t="str">
        <f t="shared" si="12"/>
        <v>12,050,916 </v>
      </c>
    </row>
    <row r="58" ht="14.25" customHeight="1">
      <c r="A58" s="155" t="s">
        <v>244</v>
      </c>
      <c r="B58" s="156" t="str">
        <f t="shared" ref="B58:H58" si="13">B42</f>
        <v>1,203,736 </v>
      </c>
      <c r="C58" s="156" t="str">
        <f t="shared" si="13"/>
        <v>1,203,736 </v>
      </c>
      <c r="D58" s="156" t="str">
        <f t="shared" si="13"/>
        <v>1,203,736 </v>
      </c>
      <c r="E58" s="156" t="str">
        <f t="shared" si="13"/>
        <v>1,203,736 </v>
      </c>
      <c r="F58" s="156" t="str">
        <f t="shared" si="13"/>
        <v>1,203,736 </v>
      </c>
      <c r="G58" s="156" t="str">
        <f t="shared" si="13"/>
        <v>1,203,736 </v>
      </c>
      <c r="H58" s="156" t="str">
        <f t="shared" si="13"/>
        <v>1,203,736 </v>
      </c>
    </row>
    <row r="59" ht="14.25" customHeight="1">
      <c r="A59" s="155" t="s">
        <v>245</v>
      </c>
      <c r="B59" s="156" t="str">
        <f>'3.Other Exp &amp; Taxes'!K66</f>
        <v>3,469,573 </v>
      </c>
      <c r="C59" s="156" t="str">
        <f>'3.Other Exp &amp; Taxes'!L66</f>
        <v>3,073,148 </v>
      </c>
      <c r="D59" s="156" t="str">
        <f>'3.Other Exp &amp; Taxes'!M66</f>
        <v>2,723,786 </v>
      </c>
      <c r="E59" s="156" t="str">
        <f>'3.Other Exp &amp; Taxes'!N66</f>
        <v>2,415,667 </v>
      </c>
      <c r="F59" s="156" t="str">
        <f>'3.Other Exp &amp; Taxes'!O66</f>
        <v>2,143,722 </v>
      </c>
      <c r="G59" s="156" t="str">
        <f>'3.Other Exp &amp; Taxes'!P66</f>
        <v>1,903,527 </v>
      </c>
      <c r="H59" s="156" t="str">
        <f>'3.Other Exp &amp; Taxes'!Q66</f>
        <v>1,691,226 </v>
      </c>
    </row>
    <row r="60" ht="14.25" customHeight="1">
      <c r="A60" s="155" t="s">
        <v>246</v>
      </c>
      <c r="B60" s="156" t="str">
        <f t="shared" ref="B60:H60" si="14">B57+B58-B59</f>
        <v>121,582 </v>
      </c>
      <c r="C60" s="156" t="str">
        <f t="shared" si="14"/>
        <v>1,792,471 </v>
      </c>
      <c r="D60" s="156" t="str">
        <f t="shared" si="14"/>
        <v>3,572,299 </v>
      </c>
      <c r="E60" s="156" t="str">
        <f t="shared" si="14"/>
        <v>5,443,112 </v>
      </c>
      <c r="F60" s="156" t="str">
        <f t="shared" si="14"/>
        <v>7,420,843 </v>
      </c>
      <c r="G60" s="156" t="str">
        <f t="shared" si="14"/>
        <v>9,505,431 </v>
      </c>
      <c r="H60" s="156" t="str">
        <f t="shared" si="14"/>
        <v>11,563,426 </v>
      </c>
    </row>
    <row r="61" ht="14.25" customHeight="1">
      <c r="A61" s="158" t="s">
        <v>247</v>
      </c>
      <c r="B61" s="395" t="str">
        <f t="shared" ref="B61:H61" si="15">IF(B60&gt;0,B60*$B$64,"0")</f>
        <v>31,611 </v>
      </c>
      <c r="C61" s="159" t="str">
        <f t="shared" si="15"/>
        <v>466,042 </v>
      </c>
      <c r="D61" s="159" t="str">
        <f t="shared" si="15"/>
        <v>928,798 </v>
      </c>
      <c r="E61" s="159" t="str">
        <f t="shared" si="15"/>
        <v>1,415,209 </v>
      </c>
      <c r="F61" s="159" t="str">
        <f t="shared" si="15"/>
        <v>1,929,419 </v>
      </c>
      <c r="G61" s="159" t="str">
        <f t="shared" si="15"/>
        <v>2,471,412 </v>
      </c>
      <c r="H61" s="159" t="str">
        <f t="shared" si="15"/>
        <v>3,006,491 </v>
      </c>
    </row>
    <row r="62" ht="14.25" customHeight="1">
      <c r="A62" s="160"/>
      <c r="B62" s="142"/>
      <c r="C62" s="142"/>
      <c r="D62" s="142"/>
      <c r="E62" s="142"/>
      <c r="F62" s="142"/>
      <c r="G62" s="142"/>
      <c r="H62" s="142"/>
    </row>
    <row r="63" ht="14.25" customHeight="1">
      <c r="A63" s="160"/>
      <c r="B63" s="147"/>
      <c r="C63" s="147"/>
      <c r="D63" s="147"/>
      <c r="E63" s="147"/>
      <c r="F63" s="147"/>
      <c r="G63" s="147"/>
      <c r="H63" s="147"/>
    </row>
    <row r="64" ht="14.25" customHeight="1">
      <c r="A64" s="161" t="s">
        <v>248</v>
      </c>
      <c r="B64" s="162">
        <v>0.26</v>
      </c>
      <c r="C64" s="147"/>
      <c r="D64" s="147"/>
      <c r="E64" s="147"/>
      <c r="F64" s="147"/>
      <c r="G64" s="147"/>
      <c r="H64" s="147"/>
    </row>
    <row r="65" ht="14.25" customHeight="1">
      <c r="A65" s="142"/>
      <c r="B65" s="142"/>
      <c r="C65" s="142"/>
      <c r="D65" s="142"/>
      <c r="E65" s="142"/>
      <c r="F65" s="142"/>
      <c r="G65" s="142"/>
      <c r="H65" s="142"/>
    </row>
    <row r="66" ht="14.25" customHeight="1">
      <c r="A66" s="163" t="s">
        <v>249</v>
      </c>
    </row>
    <row r="67" ht="14.25" customHeight="1"/>
    <row r="68" ht="14.25" customHeight="1">
      <c r="A68" s="25" t="s">
        <v>265</v>
      </c>
      <c r="G68" s="186"/>
    </row>
    <row r="69" ht="14.25" customHeight="1">
      <c r="B69" s="71"/>
      <c r="C69" s="71"/>
      <c r="D69" s="71"/>
      <c r="E69" s="71"/>
      <c r="F69" s="71"/>
      <c r="G69" s="71"/>
    </row>
    <row r="70" ht="14.25" customHeight="1">
      <c r="A70" s="111" t="s">
        <v>266</v>
      </c>
      <c r="B70" s="187" t="str">
        <f>'1.Project Cost and MOF'!M20</f>
        <v>  14,144,484 </v>
      </c>
      <c r="E70" s="111"/>
      <c r="F70" s="111"/>
      <c r="G70" s="111"/>
    </row>
    <row r="71" ht="14.25" customHeight="1">
      <c r="A71" s="111" t="s">
        <v>267</v>
      </c>
      <c r="B71" s="188">
        <v>0.12</v>
      </c>
      <c r="E71" s="111"/>
      <c r="F71" s="111"/>
      <c r="G71" s="111"/>
    </row>
    <row r="72" ht="14.25" customHeight="1">
      <c r="A72" s="111" t="s">
        <v>268</v>
      </c>
      <c r="B72" s="189">
        <v>7.0</v>
      </c>
      <c r="E72" s="111"/>
      <c r="F72" s="111"/>
      <c r="G72" s="111"/>
    </row>
    <row r="73" ht="14.25" customHeight="1">
      <c r="A73" s="111" t="s">
        <v>269</v>
      </c>
      <c r="B73" s="189">
        <v>6.0</v>
      </c>
      <c r="E73" s="111"/>
      <c r="F73" s="111"/>
      <c r="G73" s="111"/>
    </row>
    <row r="74" ht="14.25" customHeight="1">
      <c r="A74" s="111" t="s">
        <v>270</v>
      </c>
      <c r="B74" s="190" t="str">
        <f>PMT(B71/12,(B72-(B73/12))*12,-B70)</f>
        <v>Rs. 262,024.86</v>
      </c>
      <c r="E74" s="190"/>
      <c r="F74" s="191"/>
      <c r="G74" s="111"/>
    </row>
    <row r="75" ht="14.25" customHeight="1">
      <c r="A75" s="114" t="s">
        <v>271</v>
      </c>
      <c r="B75" s="192" t="s">
        <v>272</v>
      </c>
      <c r="C75" s="193" t="s">
        <v>273</v>
      </c>
      <c r="D75" s="193" t="s">
        <v>274</v>
      </c>
      <c r="E75" s="193" t="s">
        <v>275</v>
      </c>
      <c r="F75" s="193" t="s">
        <v>270</v>
      </c>
      <c r="G75" s="193" t="s">
        <v>276</v>
      </c>
    </row>
    <row r="76" ht="14.25" customHeight="1">
      <c r="A76" s="73" t="s">
        <v>277</v>
      </c>
      <c r="B76" s="73" t="s">
        <v>278</v>
      </c>
      <c r="C76" s="116" t="str">
        <f>B70</f>
        <v>  14,144,484 </v>
      </c>
      <c r="D76" s="116" t="str">
        <f t="shared" ref="D76:D159" si="16">C76*$B$71/12</f>
        <v>  141,445 </v>
      </c>
      <c r="E76" s="116" t="str">
        <f t="shared" ref="E76:E159" si="17">F76-D76</f>
        <v>  -   </v>
      </c>
      <c r="F76" s="116" t="str">
        <f t="shared" ref="F76:F81" si="18">D76</f>
        <v>  141,445 </v>
      </c>
      <c r="G76" s="116" t="str">
        <f t="shared" ref="G76:G159" si="19">C76-E76</f>
        <v>  14,144,484 </v>
      </c>
    </row>
    <row r="77" ht="14.25" customHeight="1">
      <c r="A77" s="73"/>
      <c r="B77" s="73" t="s">
        <v>279</v>
      </c>
      <c r="C77" s="116" t="str">
        <f t="shared" ref="C77:C159" si="20">G76</f>
        <v>  14,144,484 </v>
      </c>
      <c r="D77" s="116" t="str">
        <f t="shared" si="16"/>
        <v>  141,445 </v>
      </c>
      <c r="E77" s="116" t="str">
        <f t="shared" si="17"/>
        <v>  -   </v>
      </c>
      <c r="F77" s="116" t="str">
        <f t="shared" si="18"/>
        <v>  141,445 </v>
      </c>
      <c r="G77" s="116" t="str">
        <f t="shared" si="19"/>
        <v>  14,144,484 </v>
      </c>
    </row>
    <row r="78" ht="14.25" customHeight="1">
      <c r="A78" s="73"/>
      <c r="B78" s="73" t="s">
        <v>280</v>
      </c>
      <c r="C78" s="116" t="str">
        <f t="shared" si="20"/>
        <v>  14,144,484 </v>
      </c>
      <c r="D78" s="116" t="str">
        <f t="shared" si="16"/>
        <v>  141,445 </v>
      </c>
      <c r="E78" s="116" t="str">
        <f t="shared" si="17"/>
        <v>  -   </v>
      </c>
      <c r="F78" s="116" t="str">
        <f t="shared" si="18"/>
        <v>  141,445 </v>
      </c>
      <c r="G78" s="116" t="str">
        <f t="shared" si="19"/>
        <v>  14,144,484 </v>
      </c>
    </row>
    <row r="79" ht="14.25" customHeight="1">
      <c r="A79" s="73"/>
      <c r="B79" s="73" t="s">
        <v>281</v>
      </c>
      <c r="C79" s="116" t="str">
        <f t="shared" si="20"/>
        <v>  14,144,484 </v>
      </c>
      <c r="D79" s="116" t="str">
        <f t="shared" si="16"/>
        <v>  141,445 </v>
      </c>
      <c r="E79" s="116" t="str">
        <f t="shared" si="17"/>
        <v>  -   </v>
      </c>
      <c r="F79" s="116" t="str">
        <f t="shared" si="18"/>
        <v>  141,445 </v>
      </c>
      <c r="G79" s="116" t="str">
        <f t="shared" si="19"/>
        <v>  14,144,484 </v>
      </c>
    </row>
    <row r="80" ht="14.25" customHeight="1">
      <c r="A80" s="73"/>
      <c r="B80" s="73" t="s">
        <v>282</v>
      </c>
      <c r="C80" s="116" t="str">
        <f t="shared" si="20"/>
        <v>  14,144,484 </v>
      </c>
      <c r="D80" s="116" t="str">
        <f t="shared" si="16"/>
        <v>  141,445 </v>
      </c>
      <c r="E80" s="116" t="str">
        <f t="shared" si="17"/>
        <v>  -   </v>
      </c>
      <c r="F80" s="116" t="str">
        <f t="shared" si="18"/>
        <v>  141,445 </v>
      </c>
      <c r="G80" s="116" t="str">
        <f t="shared" si="19"/>
        <v>  14,144,484 </v>
      </c>
    </row>
    <row r="81" ht="14.25" customHeight="1">
      <c r="A81" s="73"/>
      <c r="B81" s="73" t="s">
        <v>283</v>
      </c>
      <c r="C81" s="116" t="str">
        <f t="shared" si="20"/>
        <v>  14,144,484 </v>
      </c>
      <c r="D81" s="116" t="str">
        <f t="shared" si="16"/>
        <v>  141,445 </v>
      </c>
      <c r="E81" s="116" t="str">
        <f t="shared" si="17"/>
        <v>  -   </v>
      </c>
      <c r="F81" s="116" t="str">
        <f t="shared" si="18"/>
        <v>  141,445 </v>
      </c>
      <c r="G81" s="116" t="str">
        <f t="shared" si="19"/>
        <v>  14,144,484 </v>
      </c>
    </row>
    <row r="82" ht="14.25" customHeight="1">
      <c r="A82" s="73"/>
      <c r="B82" s="73" t="s">
        <v>284</v>
      </c>
      <c r="C82" s="116" t="str">
        <f t="shared" si="20"/>
        <v>  14,144,484 </v>
      </c>
      <c r="D82" s="116" t="str">
        <f t="shared" si="16"/>
        <v>  141,445 </v>
      </c>
      <c r="E82" s="116" t="str">
        <f t="shared" si="17"/>
        <v>  120,580 </v>
      </c>
      <c r="F82" s="116" t="str">
        <f t="shared" ref="F82:F159" si="21">$B$74</f>
        <v>  262,025 </v>
      </c>
      <c r="G82" s="116" t="str">
        <f t="shared" si="19"/>
        <v>  14,023,904 </v>
      </c>
    </row>
    <row r="83" ht="14.25" customHeight="1">
      <c r="A83" s="73"/>
      <c r="B83" s="73" t="s">
        <v>285</v>
      </c>
      <c r="C83" s="116" t="str">
        <f t="shared" si="20"/>
        <v>  14,023,904 </v>
      </c>
      <c r="D83" s="116" t="str">
        <f t="shared" si="16"/>
        <v>  140,239 </v>
      </c>
      <c r="E83" s="116" t="str">
        <f t="shared" si="17"/>
        <v>  121,786 </v>
      </c>
      <c r="F83" s="116" t="str">
        <f t="shared" si="21"/>
        <v>  262,025 </v>
      </c>
      <c r="G83" s="116" t="str">
        <f t="shared" si="19"/>
        <v>  13,902,119 </v>
      </c>
    </row>
    <row r="84" ht="14.25" customHeight="1">
      <c r="A84" s="73"/>
      <c r="B84" s="73" t="s">
        <v>286</v>
      </c>
      <c r="C84" s="116" t="str">
        <f t="shared" si="20"/>
        <v>  13,902,119 </v>
      </c>
      <c r="D84" s="116" t="str">
        <f t="shared" si="16"/>
        <v>  139,021 </v>
      </c>
      <c r="E84" s="116" t="str">
        <f t="shared" si="17"/>
        <v>  123,004 </v>
      </c>
      <c r="F84" s="116" t="str">
        <f t="shared" si="21"/>
        <v>  262,025 </v>
      </c>
      <c r="G84" s="116" t="str">
        <f t="shared" si="19"/>
        <v>  13,779,115 </v>
      </c>
    </row>
    <row r="85" ht="14.25" customHeight="1">
      <c r="A85" s="73"/>
      <c r="B85" s="73" t="s">
        <v>287</v>
      </c>
      <c r="C85" s="116" t="str">
        <f t="shared" si="20"/>
        <v>  13,779,115 </v>
      </c>
      <c r="D85" s="116" t="str">
        <f t="shared" si="16"/>
        <v>  137,791 </v>
      </c>
      <c r="E85" s="116" t="str">
        <f t="shared" si="17"/>
        <v>  124,234 </v>
      </c>
      <c r="F85" s="116" t="str">
        <f t="shared" si="21"/>
        <v>  262,025 </v>
      </c>
      <c r="G85" s="116" t="str">
        <f t="shared" si="19"/>
        <v>  13,654,881 </v>
      </c>
    </row>
    <row r="86" ht="14.25" customHeight="1">
      <c r="A86" s="73"/>
      <c r="B86" s="73" t="s">
        <v>288</v>
      </c>
      <c r="C86" s="116" t="str">
        <f t="shared" si="20"/>
        <v>  13,654,881 </v>
      </c>
      <c r="D86" s="116" t="str">
        <f t="shared" si="16"/>
        <v>  136,549 </v>
      </c>
      <c r="E86" s="116" t="str">
        <f t="shared" si="17"/>
        <v>  125,476 </v>
      </c>
      <c r="F86" s="116" t="str">
        <f t="shared" si="21"/>
        <v>  262,025 </v>
      </c>
      <c r="G86" s="116" t="str">
        <f t="shared" si="19"/>
        <v>  13,529,405 </v>
      </c>
    </row>
    <row r="87" ht="14.25" customHeight="1">
      <c r="A87" s="73"/>
      <c r="B87" s="73" t="s">
        <v>289</v>
      </c>
      <c r="C87" s="116" t="str">
        <f t="shared" si="20"/>
        <v>  13,529,405 </v>
      </c>
      <c r="D87" s="116" t="str">
        <f t="shared" si="16"/>
        <v>  135,294 </v>
      </c>
      <c r="E87" s="116" t="str">
        <f t="shared" si="17"/>
        <v>  126,731 </v>
      </c>
      <c r="F87" s="116" t="str">
        <f t="shared" si="21"/>
        <v>  262,025 </v>
      </c>
      <c r="G87" s="116" t="str">
        <f t="shared" si="19"/>
        <v>  13,402,674 </v>
      </c>
    </row>
    <row r="88" ht="14.25" customHeight="1">
      <c r="A88" s="73" t="s">
        <v>290</v>
      </c>
      <c r="B88" s="73" t="s">
        <v>291</v>
      </c>
      <c r="C88" s="116" t="str">
        <f t="shared" si="20"/>
        <v>  13,402,674 </v>
      </c>
      <c r="D88" s="116" t="str">
        <f t="shared" si="16"/>
        <v>  134,027 </v>
      </c>
      <c r="E88" s="116" t="str">
        <f t="shared" si="17"/>
        <v>  127,998 </v>
      </c>
      <c r="F88" s="116" t="str">
        <f t="shared" si="21"/>
        <v>  262,025 </v>
      </c>
      <c r="G88" s="116" t="str">
        <f t="shared" si="19"/>
        <v>  13,274,676 </v>
      </c>
    </row>
    <row r="89" ht="14.25" customHeight="1">
      <c r="A89" s="73"/>
      <c r="B89" s="73" t="s">
        <v>292</v>
      </c>
      <c r="C89" s="116" t="str">
        <f t="shared" si="20"/>
        <v>  13,274,676 </v>
      </c>
      <c r="D89" s="116" t="str">
        <f t="shared" si="16"/>
        <v>  132,747 </v>
      </c>
      <c r="E89" s="116" t="str">
        <f t="shared" si="17"/>
        <v>  129,278 </v>
      </c>
      <c r="F89" s="116" t="str">
        <f t="shared" si="21"/>
        <v>  262,025 </v>
      </c>
      <c r="G89" s="116" t="str">
        <f t="shared" si="19"/>
        <v>  13,145,398 </v>
      </c>
    </row>
    <row r="90" ht="14.25" customHeight="1">
      <c r="A90" s="73"/>
      <c r="B90" s="73" t="s">
        <v>293</v>
      </c>
      <c r="C90" s="116" t="str">
        <f t="shared" si="20"/>
        <v>  13,145,398 </v>
      </c>
      <c r="D90" s="116" t="str">
        <f t="shared" si="16"/>
        <v>  131,454 </v>
      </c>
      <c r="E90" s="116" t="str">
        <f t="shared" si="17"/>
        <v>  130,571 </v>
      </c>
      <c r="F90" s="116" t="str">
        <f t="shared" si="21"/>
        <v>  262,025 </v>
      </c>
      <c r="G90" s="116" t="str">
        <f t="shared" si="19"/>
        <v>  13,014,827 </v>
      </c>
    </row>
    <row r="91" ht="14.25" customHeight="1">
      <c r="A91" s="73"/>
      <c r="B91" s="73" t="s">
        <v>294</v>
      </c>
      <c r="C91" s="116" t="str">
        <f t="shared" si="20"/>
        <v>  13,014,827 </v>
      </c>
      <c r="D91" s="116" t="str">
        <f t="shared" si="16"/>
        <v>  130,148 </v>
      </c>
      <c r="E91" s="116" t="str">
        <f t="shared" si="17"/>
        <v>  131,877 </v>
      </c>
      <c r="F91" s="116" t="str">
        <f t="shared" si="21"/>
        <v>  262,025 </v>
      </c>
      <c r="G91" s="116" t="str">
        <f t="shared" si="19"/>
        <v>  12,882,951 </v>
      </c>
    </row>
    <row r="92" ht="14.25" customHeight="1">
      <c r="A92" s="73"/>
      <c r="B92" s="73" t="s">
        <v>295</v>
      </c>
      <c r="C92" s="116" t="str">
        <f t="shared" si="20"/>
        <v>  12,882,951 </v>
      </c>
      <c r="D92" s="116" t="str">
        <f t="shared" si="16"/>
        <v>  128,830 </v>
      </c>
      <c r="E92" s="116" t="str">
        <f t="shared" si="17"/>
        <v>  133,195 </v>
      </c>
      <c r="F92" s="116" t="str">
        <f t="shared" si="21"/>
        <v>  262,025 </v>
      </c>
      <c r="G92" s="116" t="str">
        <f t="shared" si="19"/>
        <v>  12,749,755 </v>
      </c>
    </row>
    <row r="93" ht="14.25" customHeight="1">
      <c r="A93" s="73"/>
      <c r="B93" s="73" t="s">
        <v>296</v>
      </c>
      <c r="C93" s="116" t="str">
        <f t="shared" si="20"/>
        <v>  12,749,755 </v>
      </c>
      <c r="D93" s="116" t="str">
        <f t="shared" si="16"/>
        <v>  127,498 </v>
      </c>
      <c r="E93" s="116" t="str">
        <f t="shared" si="17"/>
        <v>  134,527 </v>
      </c>
      <c r="F93" s="116" t="str">
        <f t="shared" si="21"/>
        <v>  262,025 </v>
      </c>
      <c r="G93" s="116" t="str">
        <f t="shared" si="19"/>
        <v>  12,615,228 </v>
      </c>
    </row>
    <row r="94" ht="14.25" customHeight="1">
      <c r="A94" s="73"/>
      <c r="B94" s="73" t="s">
        <v>297</v>
      </c>
      <c r="C94" s="116" t="str">
        <f t="shared" si="20"/>
        <v>  12,615,228 </v>
      </c>
      <c r="D94" s="116" t="str">
        <f t="shared" si="16"/>
        <v>  126,152 </v>
      </c>
      <c r="E94" s="116" t="str">
        <f t="shared" si="17"/>
        <v>  135,873 </v>
      </c>
      <c r="F94" s="116" t="str">
        <f t="shared" si="21"/>
        <v>  262,025 </v>
      </c>
      <c r="G94" s="116" t="str">
        <f t="shared" si="19"/>
        <v>  12,479,355 </v>
      </c>
    </row>
    <row r="95" ht="14.25" customHeight="1">
      <c r="A95" s="73"/>
      <c r="B95" s="73" t="s">
        <v>298</v>
      </c>
      <c r="C95" s="116" t="str">
        <f t="shared" si="20"/>
        <v>  12,479,355 </v>
      </c>
      <c r="D95" s="116" t="str">
        <f t="shared" si="16"/>
        <v>  124,794 </v>
      </c>
      <c r="E95" s="116" t="str">
        <f t="shared" si="17"/>
        <v>  137,231 </v>
      </c>
      <c r="F95" s="116" t="str">
        <f t="shared" si="21"/>
        <v>  262,025 </v>
      </c>
      <c r="G95" s="116" t="str">
        <f t="shared" si="19"/>
        <v>  12,342,124 </v>
      </c>
    </row>
    <row r="96" ht="14.25" customHeight="1">
      <c r="A96" s="73"/>
      <c r="B96" s="73" t="s">
        <v>299</v>
      </c>
      <c r="C96" s="116" t="str">
        <f t="shared" si="20"/>
        <v>  12,342,124 </v>
      </c>
      <c r="D96" s="116" t="str">
        <f t="shared" si="16"/>
        <v>  123,421 </v>
      </c>
      <c r="E96" s="116" t="str">
        <f t="shared" si="17"/>
        <v>  138,604 </v>
      </c>
      <c r="F96" s="116" t="str">
        <f t="shared" si="21"/>
        <v>  262,025 </v>
      </c>
      <c r="G96" s="116" t="str">
        <f t="shared" si="19"/>
        <v>  12,203,520 </v>
      </c>
    </row>
    <row r="97" ht="14.25" customHeight="1">
      <c r="A97" s="73"/>
      <c r="B97" s="73" t="s">
        <v>300</v>
      </c>
      <c r="C97" s="116" t="str">
        <f t="shared" si="20"/>
        <v>  12,203,520 </v>
      </c>
      <c r="D97" s="116" t="str">
        <f t="shared" si="16"/>
        <v>  122,035 </v>
      </c>
      <c r="E97" s="116" t="str">
        <f t="shared" si="17"/>
        <v>  139,990 </v>
      </c>
      <c r="F97" s="116" t="str">
        <f t="shared" si="21"/>
        <v>  262,025 </v>
      </c>
      <c r="G97" s="116" t="str">
        <f t="shared" si="19"/>
        <v>  12,063,531 </v>
      </c>
    </row>
    <row r="98" ht="14.25" customHeight="1">
      <c r="A98" s="73"/>
      <c r="B98" s="73" t="s">
        <v>301</v>
      </c>
      <c r="C98" s="116" t="str">
        <f t="shared" si="20"/>
        <v>  12,063,531 </v>
      </c>
      <c r="D98" s="116" t="str">
        <f t="shared" si="16"/>
        <v>  120,635 </v>
      </c>
      <c r="E98" s="116" t="str">
        <f t="shared" si="17"/>
        <v>  141,390 </v>
      </c>
      <c r="F98" s="116" t="str">
        <f t="shared" si="21"/>
        <v>  262,025 </v>
      </c>
      <c r="G98" s="116" t="str">
        <f t="shared" si="19"/>
        <v>  11,922,141 </v>
      </c>
    </row>
    <row r="99" ht="14.25" customHeight="1">
      <c r="A99" s="73"/>
      <c r="B99" s="73" t="s">
        <v>302</v>
      </c>
      <c r="C99" s="116" t="str">
        <f t="shared" si="20"/>
        <v>  11,922,141 </v>
      </c>
      <c r="D99" s="116" t="str">
        <f t="shared" si="16"/>
        <v>  119,221 </v>
      </c>
      <c r="E99" s="116" t="str">
        <f t="shared" si="17"/>
        <v>  142,803 </v>
      </c>
      <c r="F99" s="116" t="str">
        <f t="shared" si="21"/>
        <v>  262,025 </v>
      </c>
      <c r="G99" s="116" t="str">
        <f t="shared" si="19"/>
        <v>  11,779,338 </v>
      </c>
    </row>
    <row r="100" ht="14.25" customHeight="1">
      <c r="A100" s="73" t="s">
        <v>303</v>
      </c>
      <c r="B100" s="73" t="s">
        <v>304</v>
      </c>
      <c r="C100" s="116" t="str">
        <f t="shared" si="20"/>
        <v>  11,779,338 </v>
      </c>
      <c r="D100" s="116" t="str">
        <f t="shared" si="16"/>
        <v>  117,793 </v>
      </c>
      <c r="E100" s="116" t="str">
        <f t="shared" si="17"/>
        <v>  144,231 </v>
      </c>
      <c r="F100" s="116" t="str">
        <f t="shared" si="21"/>
        <v>  262,025 </v>
      </c>
      <c r="G100" s="116" t="str">
        <f t="shared" si="19"/>
        <v>  11,635,106 </v>
      </c>
    </row>
    <row r="101" ht="14.25" customHeight="1">
      <c r="A101" s="73"/>
      <c r="B101" s="73" t="s">
        <v>305</v>
      </c>
      <c r="C101" s="116" t="str">
        <f t="shared" si="20"/>
        <v>  11,635,106 </v>
      </c>
      <c r="D101" s="116" t="str">
        <f t="shared" si="16"/>
        <v>  116,351 </v>
      </c>
      <c r="E101" s="116" t="str">
        <f t="shared" si="17"/>
        <v>  145,674 </v>
      </c>
      <c r="F101" s="116" t="str">
        <f t="shared" si="21"/>
        <v>  262,025 </v>
      </c>
      <c r="G101" s="116" t="str">
        <f t="shared" si="19"/>
        <v>  11,489,432 </v>
      </c>
    </row>
    <row r="102" ht="14.25" customHeight="1">
      <c r="A102" s="73"/>
      <c r="B102" s="73" t="s">
        <v>306</v>
      </c>
      <c r="C102" s="116" t="str">
        <f t="shared" si="20"/>
        <v>  11,489,432 </v>
      </c>
      <c r="D102" s="116" t="str">
        <f t="shared" si="16"/>
        <v>  114,894 </v>
      </c>
      <c r="E102" s="116" t="str">
        <f t="shared" si="17"/>
        <v>  147,131 </v>
      </c>
      <c r="F102" s="116" t="str">
        <f t="shared" si="21"/>
        <v>  262,025 </v>
      </c>
      <c r="G102" s="116" t="str">
        <f t="shared" si="19"/>
        <v>  11,342,302 </v>
      </c>
    </row>
    <row r="103" ht="14.25" customHeight="1">
      <c r="A103" s="73"/>
      <c r="B103" s="73" t="s">
        <v>307</v>
      </c>
      <c r="C103" s="116" t="str">
        <f t="shared" si="20"/>
        <v>  11,342,302 </v>
      </c>
      <c r="D103" s="116" t="str">
        <f t="shared" si="16"/>
        <v>  113,423 </v>
      </c>
      <c r="E103" s="116" t="str">
        <f t="shared" si="17"/>
        <v>  148,602 </v>
      </c>
      <c r="F103" s="116" t="str">
        <f t="shared" si="21"/>
        <v>  262,025 </v>
      </c>
      <c r="G103" s="116" t="str">
        <f t="shared" si="19"/>
        <v>  11,193,700 </v>
      </c>
    </row>
    <row r="104" ht="14.25" customHeight="1">
      <c r="A104" s="73"/>
      <c r="B104" s="73" t="s">
        <v>308</v>
      </c>
      <c r="C104" s="116" t="str">
        <f t="shared" si="20"/>
        <v>  11,193,700 </v>
      </c>
      <c r="D104" s="116" t="str">
        <f t="shared" si="16"/>
        <v>  111,937 </v>
      </c>
      <c r="E104" s="116" t="str">
        <f t="shared" si="17"/>
        <v>  150,088 </v>
      </c>
      <c r="F104" s="116" t="str">
        <f t="shared" si="21"/>
        <v>  262,025 </v>
      </c>
      <c r="G104" s="116" t="str">
        <f t="shared" si="19"/>
        <v>  11,043,612 </v>
      </c>
    </row>
    <row r="105" ht="14.25" customHeight="1">
      <c r="A105" s="73"/>
      <c r="B105" s="73" t="s">
        <v>309</v>
      </c>
      <c r="C105" s="116" t="str">
        <f t="shared" si="20"/>
        <v>  11,043,612 </v>
      </c>
      <c r="D105" s="116" t="str">
        <f t="shared" si="16"/>
        <v>  110,436 </v>
      </c>
      <c r="E105" s="116" t="str">
        <f t="shared" si="17"/>
        <v>  151,589 </v>
      </c>
      <c r="F105" s="116" t="str">
        <f t="shared" si="21"/>
        <v>  262,025 </v>
      </c>
      <c r="G105" s="116" t="str">
        <f t="shared" si="19"/>
        <v>  10,892,023 </v>
      </c>
    </row>
    <row r="106" ht="14.25" customHeight="1">
      <c r="A106" s="73"/>
      <c r="B106" s="73" t="s">
        <v>310</v>
      </c>
      <c r="C106" s="116" t="str">
        <f t="shared" si="20"/>
        <v>  10,892,023 </v>
      </c>
      <c r="D106" s="116" t="str">
        <f t="shared" si="16"/>
        <v>  108,920 </v>
      </c>
      <c r="E106" s="116" t="str">
        <f t="shared" si="17"/>
        <v>  153,105 </v>
      </c>
      <c r="F106" s="116" t="str">
        <f t="shared" si="21"/>
        <v>  262,025 </v>
      </c>
      <c r="G106" s="116" t="str">
        <f t="shared" si="19"/>
        <v>  10,738,919 </v>
      </c>
    </row>
    <row r="107" ht="14.25" customHeight="1">
      <c r="A107" s="73"/>
      <c r="B107" s="73" t="s">
        <v>311</v>
      </c>
      <c r="C107" s="116" t="str">
        <f t="shared" si="20"/>
        <v>  10,738,919 </v>
      </c>
      <c r="D107" s="116" t="str">
        <f t="shared" si="16"/>
        <v>  107,389 </v>
      </c>
      <c r="E107" s="116" t="str">
        <f t="shared" si="17"/>
        <v>  154,636 </v>
      </c>
      <c r="F107" s="116" t="str">
        <f t="shared" si="21"/>
        <v>  262,025 </v>
      </c>
      <c r="G107" s="116" t="str">
        <f t="shared" si="19"/>
        <v>  10,584,283 </v>
      </c>
    </row>
    <row r="108" ht="14.25" customHeight="1">
      <c r="A108" s="73"/>
      <c r="B108" s="73" t="s">
        <v>312</v>
      </c>
      <c r="C108" s="116" t="str">
        <f t="shared" si="20"/>
        <v>  10,584,283 </v>
      </c>
      <c r="D108" s="116" t="str">
        <f t="shared" si="16"/>
        <v>  105,843 </v>
      </c>
      <c r="E108" s="116" t="str">
        <f t="shared" si="17"/>
        <v>  156,182 </v>
      </c>
      <c r="F108" s="116" t="str">
        <f t="shared" si="21"/>
        <v>  262,025 </v>
      </c>
      <c r="G108" s="116" t="str">
        <f t="shared" si="19"/>
        <v>  10,428,101 </v>
      </c>
    </row>
    <row r="109" ht="14.25" customHeight="1">
      <c r="A109" s="73"/>
      <c r="B109" s="73" t="s">
        <v>313</v>
      </c>
      <c r="C109" s="116" t="str">
        <f t="shared" si="20"/>
        <v>  10,428,101 </v>
      </c>
      <c r="D109" s="116" t="str">
        <f t="shared" si="16"/>
        <v>  104,281 </v>
      </c>
      <c r="E109" s="116" t="str">
        <f t="shared" si="17"/>
        <v>  157,744 </v>
      </c>
      <c r="F109" s="116" t="str">
        <f t="shared" si="21"/>
        <v>  262,025 </v>
      </c>
      <c r="G109" s="116" t="str">
        <f t="shared" si="19"/>
        <v>  10,270,357 </v>
      </c>
    </row>
    <row r="110" ht="14.25" customHeight="1">
      <c r="A110" s="73"/>
      <c r="B110" s="73" t="s">
        <v>314</v>
      </c>
      <c r="C110" s="116" t="str">
        <f t="shared" si="20"/>
        <v>  10,270,357 </v>
      </c>
      <c r="D110" s="116" t="str">
        <f t="shared" si="16"/>
        <v>  102,704 </v>
      </c>
      <c r="E110" s="116" t="str">
        <f t="shared" si="17"/>
        <v>  159,321 </v>
      </c>
      <c r="F110" s="116" t="str">
        <f t="shared" si="21"/>
        <v>  262,025 </v>
      </c>
      <c r="G110" s="116" t="str">
        <f t="shared" si="19"/>
        <v>  10,111,036 </v>
      </c>
    </row>
    <row r="111" ht="14.25" customHeight="1">
      <c r="A111" s="73"/>
      <c r="B111" s="73" t="s">
        <v>315</v>
      </c>
      <c r="C111" s="116" t="str">
        <f t="shared" si="20"/>
        <v>  10,111,036 </v>
      </c>
      <c r="D111" s="116" t="str">
        <f t="shared" si="16"/>
        <v>  101,110 </v>
      </c>
      <c r="E111" s="116" t="str">
        <f t="shared" si="17"/>
        <v>  160,915 </v>
      </c>
      <c r="F111" s="116" t="str">
        <f t="shared" si="21"/>
        <v>  262,025 </v>
      </c>
      <c r="G111" s="116" t="str">
        <f t="shared" si="19"/>
        <v>  9,950,121 </v>
      </c>
    </row>
    <row r="112" ht="14.25" customHeight="1">
      <c r="A112" s="73" t="s">
        <v>316</v>
      </c>
      <c r="B112" s="73" t="s">
        <v>317</v>
      </c>
      <c r="C112" s="116" t="str">
        <f t="shared" si="20"/>
        <v>  9,950,121 </v>
      </c>
      <c r="D112" s="116" t="str">
        <f t="shared" si="16"/>
        <v>  99,501 </v>
      </c>
      <c r="E112" s="116" t="str">
        <f t="shared" si="17"/>
        <v>  162,524 </v>
      </c>
      <c r="F112" s="116" t="str">
        <f t="shared" si="21"/>
        <v>  262,025 </v>
      </c>
      <c r="G112" s="116" t="str">
        <f t="shared" si="19"/>
        <v>  9,787,598 </v>
      </c>
    </row>
    <row r="113" ht="14.25" customHeight="1">
      <c r="A113" s="73"/>
      <c r="B113" s="73" t="s">
        <v>318</v>
      </c>
      <c r="C113" s="116" t="str">
        <f t="shared" si="20"/>
        <v>  9,787,598 </v>
      </c>
      <c r="D113" s="116" t="str">
        <f t="shared" si="16"/>
        <v>  97,876 </v>
      </c>
      <c r="E113" s="116" t="str">
        <f t="shared" si="17"/>
        <v>  164,149 </v>
      </c>
      <c r="F113" s="116" t="str">
        <f t="shared" si="21"/>
        <v>  262,025 </v>
      </c>
      <c r="G113" s="116" t="str">
        <f t="shared" si="19"/>
        <v>  9,623,449 </v>
      </c>
    </row>
    <row r="114" ht="14.25" customHeight="1">
      <c r="A114" s="73"/>
      <c r="B114" s="73" t="s">
        <v>319</v>
      </c>
      <c r="C114" s="116" t="str">
        <f t="shared" si="20"/>
        <v>  9,623,449 </v>
      </c>
      <c r="D114" s="116" t="str">
        <f t="shared" si="16"/>
        <v>  96,234 </v>
      </c>
      <c r="E114" s="116" t="str">
        <f t="shared" si="17"/>
        <v>  165,790 </v>
      </c>
      <c r="F114" s="116" t="str">
        <f t="shared" si="21"/>
        <v>  262,025 </v>
      </c>
      <c r="G114" s="116" t="str">
        <f t="shared" si="19"/>
        <v>  9,457,659 </v>
      </c>
    </row>
    <row r="115" ht="14.25" customHeight="1">
      <c r="A115" s="73"/>
      <c r="B115" s="73" t="s">
        <v>320</v>
      </c>
      <c r="C115" s="116" t="str">
        <f t="shared" si="20"/>
        <v>  9,457,659 </v>
      </c>
      <c r="D115" s="116" t="str">
        <f t="shared" si="16"/>
        <v>  94,577 </v>
      </c>
      <c r="E115" s="116" t="str">
        <f t="shared" si="17"/>
        <v>  167,448 </v>
      </c>
      <c r="F115" s="116" t="str">
        <f t="shared" si="21"/>
        <v>  262,025 </v>
      </c>
      <c r="G115" s="116" t="str">
        <f t="shared" si="19"/>
        <v>  9,290,210 </v>
      </c>
    </row>
    <row r="116" ht="14.25" customHeight="1">
      <c r="A116" s="73"/>
      <c r="B116" s="73" t="s">
        <v>321</v>
      </c>
      <c r="C116" s="116" t="str">
        <f t="shared" si="20"/>
        <v>  9,290,210 </v>
      </c>
      <c r="D116" s="116" t="str">
        <f t="shared" si="16"/>
        <v>  92,902 </v>
      </c>
      <c r="E116" s="116" t="str">
        <f t="shared" si="17"/>
        <v>  169,123 </v>
      </c>
      <c r="F116" s="116" t="str">
        <f t="shared" si="21"/>
        <v>  262,025 </v>
      </c>
      <c r="G116" s="116" t="str">
        <f t="shared" si="19"/>
        <v>  9,121,088 </v>
      </c>
    </row>
    <row r="117" ht="14.25" customHeight="1">
      <c r="A117" s="73"/>
      <c r="B117" s="73" t="s">
        <v>322</v>
      </c>
      <c r="C117" s="116" t="str">
        <f t="shared" si="20"/>
        <v>  9,121,088 </v>
      </c>
      <c r="D117" s="116" t="str">
        <f t="shared" si="16"/>
        <v>  91,211 </v>
      </c>
      <c r="E117" s="116" t="str">
        <f t="shared" si="17"/>
        <v>  170,814 </v>
      </c>
      <c r="F117" s="116" t="str">
        <f t="shared" si="21"/>
        <v>  262,025 </v>
      </c>
      <c r="G117" s="116" t="str">
        <f t="shared" si="19"/>
        <v>  8,950,274 </v>
      </c>
    </row>
    <row r="118" ht="14.25" customHeight="1">
      <c r="A118" s="73"/>
      <c r="B118" s="73" t="s">
        <v>323</v>
      </c>
      <c r="C118" s="116" t="str">
        <f t="shared" si="20"/>
        <v>  8,950,274 </v>
      </c>
      <c r="D118" s="116" t="str">
        <f t="shared" si="16"/>
        <v>  89,503 </v>
      </c>
      <c r="E118" s="116" t="str">
        <f t="shared" si="17"/>
        <v>  172,522 </v>
      </c>
      <c r="F118" s="116" t="str">
        <f t="shared" si="21"/>
        <v>  262,025 </v>
      </c>
      <c r="G118" s="116" t="str">
        <f t="shared" si="19"/>
        <v>  8,777,751 </v>
      </c>
    </row>
    <row r="119" ht="14.25" customHeight="1">
      <c r="A119" s="73"/>
      <c r="B119" s="73" t="s">
        <v>324</v>
      </c>
      <c r="C119" s="116" t="str">
        <f t="shared" si="20"/>
        <v>  8,777,751 </v>
      </c>
      <c r="D119" s="116" t="str">
        <f t="shared" si="16"/>
        <v>  87,778 </v>
      </c>
      <c r="E119" s="116" t="str">
        <f t="shared" si="17"/>
        <v>  174,247 </v>
      </c>
      <c r="F119" s="116" t="str">
        <f t="shared" si="21"/>
        <v>  262,025 </v>
      </c>
      <c r="G119" s="116" t="str">
        <f t="shared" si="19"/>
        <v>  8,603,504 </v>
      </c>
    </row>
    <row r="120" ht="14.25" customHeight="1">
      <c r="A120" s="73"/>
      <c r="B120" s="73" t="s">
        <v>325</v>
      </c>
      <c r="C120" s="116" t="str">
        <f t="shared" si="20"/>
        <v>  8,603,504 </v>
      </c>
      <c r="D120" s="116" t="str">
        <f t="shared" si="16"/>
        <v>  86,035 </v>
      </c>
      <c r="E120" s="116" t="str">
        <f t="shared" si="17"/>
        <v>  175,990 </v>
      </c>
      <c r="F120" s="116" t="str">
        <f t="shared" si="21"/>
        <v>  262,025 </v>
      </c>
      <c r="G120" s="116" t="str">
        <f t="shared" si="19"/>
        <v>  8,427,514 </v>
      </c>
    </row>
    <row r="121" ht="14.25" customHeight="1">
      <c r="A121" s="73"/>
      <c r="B121" s="73" t="s">
        <v>326</v>
      </c>
      <c r="C121" s="116" t="str">
        <f t="shared" si="20"/>
        <v>  8,427,514 </v>
      </c>
      <c r="D121" s="116" t="str">
        <f t="shared" si="16"/>
        <v>  84,275 </v>
      </c>
      <c r="E121" s="116" t="str">
        <f t="shared" si="17"/>
        <v>  177,750 </v>
      </c>
      <c r="F121" s="116" t="str">
        <f t="shared" si="21"/>
        <v>  262,025 </v>
      </c>
      <c r="G121" s="116" t="str">
        <f t="shared" si="19"/>
        <v>  8,249,765 </v>
      </c>
    </row>
    <row r="122" ht="14.25" customHeight="1">
      <c r="A122" s="73"/>
      <c r="B122" s="73" t="s">
        <v>327</v>
      </c>
      <c r="C122" s="116" t="str">
        <f t="shared" si="20"/>
        <v>  8,249,765 </v>
      </c>
      <c r="D122" s="116" t="str">
        <f t="shared" si="16"/>
        <v>  82,498 </v>
      </c>
      <c r="E122" s="116" t="str">
        <f t="shared" si="17"/>
        <v>  179,527 </v>
      </c>
      <c r="F122" s="116" t="str">
        <f t="shared" si="21"/>
        <v>  262,025 </v>
      </c>
      <c r="G122" s="116" t="str">
        <f t="shared" si="19"/>
        <v>  8,070,237 </v>
      </c>
    </row>
    <row r="123" ht="14.25" customHeight="1">
      <c r="A123" s="73"/>
      <c r="B123" s="73" t="s">
        <v>328</v>
      </c>
      <c r="C123" s="116" t="str">
        <f t="shared" si="20"/>
        <v>  8,070,237 </v>
      </c>
      <c r="D123" s="116" t="str">
        <f t="shared" si="16"/>
        <v>  80,702 </v>
      </c>
      <c r="E123" s="116" t="str">
        <f t="shared" si="17"/>
        <v>  181,322 </v>
      </c>
      <c r="F123" s="116" t="str">
        <f t="shared" si="21"/>
        <v>  262,025 </v>
      </c>
      <c r="G123" s="116" t="str">
        <f t="shared" si="19"/>
        <v>  7,888,915 </v>
      </c>
    </row>
    <row r="124" ht="14.25" customHeight="1">
      <c r="A124" s="73" t="s">
        <v>329</v>
      </c>
      <c r="B124" s="73" t="s">
        <v>330</v>
      </c>
      <c r="C124" s="116" t="str">
        <f t="shared" si="20"/>
        <v>  7,888,915 </v>
      </c>
      <c r="D124" s="116" t="str">
        <f t="shared" si="16"/>
        <v>  78,889 </v>
      </c>
      <c r="E124" s="116" t="str">
        <f t="shared" si="17"/>
        <v>  183,136 </v>
      </c>
      <c r="F124" s="116" t="str">
        <f t="shared" si="21"/>
        <v>  262,025 </v>
      </c>
      <c r="G124" s="116" t="str">
        <f t="shared" si="19"/>
        <v>  7,705,779 </v>
      </c>
    </row>
    <row r="125" ht="14.25" customHeight="1">
      <c r="A125" s="73"/>
      <c r="B125" s="73" t="s">
        <v>331</v>
      </c>
      <c r="C125" s="116" t="str">
        <f t="shared" si="20"/>
        <v>  7,705,779 </v>
      </c>
      <c r="D125" s="116" t="str">
        <f t="shared" si="16"/>
        <v>  77,058 </v>
      </c>
      <c r="E125" s="116" t="str">
        <f t="shared" si="17"/>
        <v>  184,967 </v>
      </c>
      <c r="F125" s="116" t="str">
        <f t="shared" si="21"/>
        <v>  262,025 </v>
      </c>
      <c r="G125" s="116" t="str">
        <f t="shared" si="19"/>
        <v>  7,520,812 </v>
      </c>
    </row>
    <row r="126" ht="14.25" customHeight="1">
      <c r="A126" s="73"/>
      <c r="B126" s="73" t="s">
        <v>332</v>
      </c>
      <c r="C126" s="116" t="str">
        <f t="shared" si="20"/>
        <v>  7,520,812 </v>
      </c>
      <c r="D126" s="116" t="str">
        <f t="shared" si="16"/>
        <v>  75,208 </v>
      </c>
      <c r="E126" s="116" t="str">
        <f t="shared" si="17"/>
        <v>  186,817 </v>
      </c>
      <c r="F126" s="116" t="str">
        <f t="shared" si="21"/>
        <v>  262,025 </v>
      </c>
      <c r="G126" s="116" t="str">
        <f t="shared" si="19"/>
        <v>  7,333,995 </v>
      </c>
    </row>
    <row r="127" ht="14.25" customHeight="1">
      <c r="A127" s="73"/>
      <c r="B127" s="73" t="s">
        <v>333</v>
      </c>
      <c r="C127" s="116" t="str">
        <f t="shared" si="20"/>
        <v>  7,333,995 </v>
      </c>
      <c r="D127" s="116" t="str">
        <f t="shared" si="16"/>
        <v>  73,340 </v>
      </c>
      <c r="E127" s="116" t="str">
        <f t="shared" si="17"/>
        <v>  188,685 </v>
      </c>
      <c r="F127" s="116" t="str">
        <f t="shared" si="21"/>
        <v>  262,025 </v>
      </c>
      <c r="G127" s="116" t="str">
        <f t="shared" si="19"/>
        <v>  7,145,310 </v>
      </c>
    </row>
    <row r="128" ht="14.25" customHeight="1">
      <c r="A128" s="73"/>
      <c r="B128" s="73" t="s">
        <v>334</v>
      </c>
      <c r="C128" s="116" t="str">
        <f t="shared" si="20"/>
        <v>  7,145,310 </v>
      </c>
      <c r="D128" s="116" t="str">
        <f t="shared" si="16"/>
        <v>  71,453 </v>
      </c>
      <c r="E128" s="116" t="str">
        <f t="shared" si="17"/>
        <v>  190,572 </v>
      </c>
      <c r="F128" s="116" t="str">
        <f t="shared" si="21"/>
        <v>  262,025 </v>
      </c>
      <c r="G128" s="116" t="str">
        <f t="shared" si="19"/>
        <v>  6,954,739 </v>
      </c>
    </row>
    <row r="129" ht="14.25" customHeight="1">
      <c r="A129" s="73"/>
      <c r="B129" s="73" t="s">
        <v>335</v>
      </c>
      <c r="C129" s="116" t="str">
        <f t="shared" si="20"/>
        <v>  6,954,739 </v>
      </c>
      <c r="D129" s="116" t="str">
        <f t="shared" si="16"/>
        <v>  69,547 </v>
      </c>
      <c r="E129" s="116" t="str">
        <f t="shared" si="17"/>
        <v>  192,477 </v>
      </c>
      <c r="F129" s="116" t="str">
        <f t="shared" si="21"/>
        <v>  262,025 </v>
      </c>
      <c r="G129" s="116" t="str">
        <f t="shared" si="19"/>
        <v>  6,762,261 </v>
      </c>
    </row>
    <row r="130" ht="14.25" customHeight="1">
      <c r="A130" s="73"/>
      <c r="B130" s="73" t="s">
        <v>336</v>
      </c>
      <c r="C130" s="116" t="str">
        <f t="shared" si="20"/>
        <v>  6,762,261 </v>
      </c>
      <c r="D130" s="116" t="str">
        <f t="shared" si="16"/>
        <v>  67,623 </v>
      </c>
      <c r="E130" s="116" t="str">
        <f t="shared" si="17"/>
        <v>  194,402 </v>
      </c>
      <c r="F130" s="116" t="str">
        <f t="shared" si="21"/>
        <v>  262,025 </v>
      </c>
      <c r="G130" s="116" t="str">
        <f t="shared" si="19"/>
        <v>  6,567,859 </v>
      </c>
    </row>
    <row r="131" ht="14.25" customHeight="1">
      <c r="A131" s="73"/>
      <c r="B131" s="73" t="s">
        <v>337</v>
      </c>
      <c r="C131" s="116" t="str">
        <f t="shared" si="20"/>
        <v>  6,567,859 </v>
      </c>
      <c r="D131" s="116" t="str">
        <f t="shared" si="16"/>
        <v>  65,679 </v>
      </c>
      <c r="E131" s="116" t="str">
        <f t="shared" si="17"/>
        <v>  196,346 </v>
      </c>
      <c r="F131" s="116" t="str">
        <f t="shared" si="21"/>
        <v>  262,025 </v>
      </c>
      <c r="G131" s="116" t="str">
        <f t="shared" si="19"/>
        <v>  6,371,513 </v>
      </c>
    </row>
    <row r="132" ht="14.25" customHeight="1">
      <c r="A132" s="73"/>
      <c r="B132" s="73" t="s">
        <v>338</v>
      </c>
      <c r="C132" s="116" t="str">
        <f t="shared" si="20"/>
        <v>  6,371,513 </v>
      </c>
      <c r="D132" s="116" t="str">
        <f t="shared" si="16"/>
        <v>  63,715 </v>
      </c>
      <c r="E132" s="116" t="str">
        <f t="shared" si="17"/>
        <v>  198,310 </v>
      </c>
      <c r="F132" s="116" t="str">
        <f t="shared" si="21"/>
        <v>  262,025 </v>
      </c>
      <c r="G132" s="116" t="str">
        <f t="shared" si="19"/>
        <v>  6,173,203 </v>
      </c>
    </row>
    <row r="133" ht="14.25" customHeight="1">
      <c r="A133" s="73"/>
      <c r="B133" s="73" t="s">
        <v>339</v>
      </c>
      <c r="C133" s="116" t="str">
        <f t="shared" si="20"/>
        <v>  6,173,203 </v>
      </c>
      <c r="D133" s="116" t="str">
        <f t="shared" si="16"/>
        <v>  61,732 </v>
      </c>
      <c r="E133" s="116" t="str">
        <f t="shared" si="17"/>
        <v>  200,293 </v>
      </c>
      <c r="F133" s="116" t="str">
        <f t="shared" si="21"/>
        <v>  262,025 </v>
      </c>
      <c r="G133" s="116" t="str">
        <f t="shared" si="19"/>
        <v>  5,972,910 </v>
      </c>
    </row>
    <row r="134" ht="14.25" customHeight="1">
      <c r="A134" s="73"/>
      <c r="B134" s="73" t="s">
        <v>340</v>
      </c>
      <c r="C134" s="116" t="str">
        <f t="shared" si="20"/>
        <v>  5,972,910 </v>
      </c>
      <c r="D134" s="116" t="str">
        <f t="shared" si="16"/>
        <v>  59,729 </v>
      </c>
      <c r="E134" s="116" t="str">
        <f t="shared" si="17"/>
        <v>  202,296 </v>
      </c>
      <c r="F134" s="116" t="str">
        <f t="shared" si="21"/>
        <v>  262,025 </v>
      </c>
      <c r="G134" s="116" t="str">
        <f t="shared" si="19"/>
        <v>  5,770,614 </v>
      </c>
    </row>
    <row r="135" ht="14.25" customHeight="1">
      <c r="A135" s="73"/>
      <c r="B135" s="73" t="s">
        <v>341</v>
      </c>
      <c r="C135" s="116" t="str">
        <f t="shared" si="20"/>
        <v>  5,770,614 </v>
      </c>
      <c r="D135" s="116" t="str">
        <f t="shared" si="16"/>
        <v>  57,706 </v>
      </c>
      <c r="E135" s="116" t="str">
        <f t="shared" si="17"/>
        <v>  204,319 </v>
      </c>
      <c r="F135" s="116" t="str">
        <f t="shared" si="21"/>
        <v>  262,025 </v>
      </c>
      <c r="G135" s="116" t="str">
        <f t="shared" si="19"/>
        <v>  5,566,296 </v>
      </c>
    </row>
    <row r="136" ht="14.25" customHeight="1">
      <c r="A136" s="73" t="s">
        <v>342</v>
      </c>
      <c r="B136" s="73" t="s">
        <v>343</v>
      </c>
      <c r="C136" s="116" t="str">
        <f t="shared" si="20"/>
        <v>  5,566,296 </v>
      </c>
      <c r="D136" s="116" t="str">
        <f t="shared" si="16"/>
        <v>  55,663 </v>
      </c>
      <c r="E136" s="116" t="str">
        <f t="shared" si="17"/>
        <v>  206,362 </v>
      </c>
      <c r="F136" s="116" t="str">
        <f t="shared" si="21"/>
        <v>  262,025 </v>
      </c>
      <c r="G136" s="116" t="str">
        <f t="shared" si="19"/>
        <v>  5,359,934 </v>
      </c>
    </row>
    <row r="137" ht="14.25" customHeight="1">
      <c r="A137" s="73"/>
      <c r="B137" s="73" t="s">
        <v>344</v>
      </c>
      <c r="C137" s="116" t="str">
        <f t="shared" si="20"/>
        <v>  5,359,934 </v>
      </c>
      <c r="D137" s="116" t="str">
        <f t="shared" si="16"/>
        <v>  53,599 </v>
      </c>
      <c r="E137" s="116" t="str">
        <f t="shared" si="17"/>
        <v>  208,426 </v>
      </c>
      <c r="F137" s="116" t="str">
        <f t="shared" si="21"/>
        <v>  262,025 </v>
      </c>
      <c r="G137" s="116" t="str">
        <f t="shared" si="19"/>
        <v>  5,151,508 </v>
      </c>
    </row>
    <row r="138" ht="14.25" customHeight="1">
      <c r="A138" s="73"/>
      <c r="B138" s="73" t="s">
        <v>345</v>
      </c>
      <c r="C138" s="116" t="str">
        <f t="shared" si="20"/>
        <v>  5,151,508 </v>
      </c>
      <c r="D138" s="116" t="str">
        <f t="shared" si="16"/>
        <v>  51,515 </v>
      </c>
      <c r="E138" s="116" t="str">
        <f t="shared" si="17"/>
        <v>  210,510 </v>
      </c>
      <c r="F138" s="116" t="str">
        <f t="shared" si="21"/>
        <v>  262,025 </v>
      </c>
      <c r="G138" s="116" t="str">
        <f t="shared" si="19"/>
        <v>  4,940,998 </v>
      </c>
    </row>
    <row r="139" ht="14.25" customHeight="1">
      <c r="A139" s="73"/>
      <c r="B139" s="73" t="s">
        <v>346</v>
      </c>
      <c r="C139" s="116" t="str">
        <f t="shared" si="20"/>
        <v>  4,940,998 </v>
      </c>
      <c r="D139" s="116" t="str">
        <f t="shared" si="16"/>
        <v>  49,410 </v>
      </c>
      <c r="E139" s="116" t="str">
        <f t="shared" si="17"/>
        <v>  212,615 </v>
      </c>
      <c r="F139" s="116" t="str">
        <f t="shared" si="21"/>
        <v>  262,025 </v>
      </c>
      <c r="G139" s="116" t="str">
        <f t="shared" si="19"/>
        <v>  4,728,384 </v>
      </c>
    </row>
    <row r="140" ht="14.25" customHeight="1">
      <c r="A140" s="73"/>
      <c r="B140" s="73" t="s">
        <v>347</v>
      </c>
      <c r="C140" s="116" t="str">
        <f t="shared" si="20"/>
        <v>  4,728,384 </v>
      </c>
      <c r="D140" s="116" t="str">
        <f t="shared" si="16"/>
        <v>  47,284 </v>
      </c>
      <c r="E140" s="116" t="str">
        <f t="shared" si="17"/>
        <v>  214,741 </v>
      </c>
      <c r="F140" s="116" t="str">
        <f t="shared" si="21"/>
        <v>  262,025 </v>
      </c>
      <c r="G140" s="116" t="str">
        <f t="shared" si="19"/>
        <v>  4,513,642 </v>
      </c>
    </row>
    <row r="141" ht="14.25" customHeight="1">
      <c r="A141" s="73"/>
      <c r="B141" s="73" t="s">
        <v>348</v>
      </c>
      <c r="C141" s="116" t="str">
        <f t="shared" si="20"/>
        <v>  4,513,642 </v>
      </c>
      <c r="D141" s="116" t="str">
        <f t="shared" si="16"/>
        <v>  45,136 </v>
      </c>
      <c r="E141" s="116" t="str">
        <f t="shared" si="17"/>
        <v>  216,888 </v>
      </c>
      <c r="F141" s="116" t="str">
        <f t="shared" si="21"/>
        <v>  262,025 </v>
      </c>
      <c r="G141" s="116" t="str">
        <f t="shared" si="19"/>
        <v>  4,296,754 </v>
      </c>
    </row>
    <row r="142" ht="14.25" customHeight="1">
      <c r="A142" s="73"/>
      <c r="B142" s="73" t="s">
        <v>349</v>
      </c>
      <c r="C142" s="116" t="str">
        <f t="shared" si="20"/>
        <v>  4,296,754 </v>
      </c>
      <c r="D142" s="116" t="str">
        <f t="shared" si="16"/>
        <v>  42,968 </v>
      </c>
      <c r="E142" s="116" t="str">
        <f t="shared" si="17"/>
        <v>  219,057 </v>
      </c>
      <c r="F142" s="116" t="str">
        <f t="shared" si="21"/>
        <v>  262,025 </v>
      </c>
      <c r="G142" s="116" t="str">
        <f t="shared" si="19"/>
        <v>  4,077,697 </v>
      </c>
    </row>
    <row r="143" ht="14.25" customHeight="1">
      <c r="A143" s="73"/>
      <c r="B143" s="73" t="s">
        <v>350</v>
      </c>
      <c r="C143" s="116" t="str">
        <f t="shared" si="20"/>
        <v>  4,077,697 </v>
      </c>
      <c r="D143" s="116" t="str">
        <f t="shared" si="16"/>
        <v>  40,777 </v>
      </c>
      <c r="E143" s="116" t="str">
        <f t="shared" si="17"/>
        <v>  221,248 </v>
      </c>
      <c r="F143" s="116" t="str">
        <f t="shared" si="21"/>
        <v>  262,025 </v>
      </c>
      <c r="G143" s="116" t="str">
        <f t="shared" si="19"/>
        <v>  3,856,449 </v>
      </c>
    </row>
    <row r="144" ht="14.25" customHeight="1">
      <c r="A144" s="73"/>
      <c r="B144" s="73" t="s">
        <v>351</v>
      </c>
      <c r="C144" s="116" t="str">
        <f t="shared" si="20"/>
        <v>  3,856,449 </v>
      </c>
      <c r="D144" s="116" t="str">
        <f t="shared" si="16"/>
        <v>  38,564 </v>
      </c>
      <c r="E144" s="116" t="str">
        <f t="shared" si="17"/>
        <v>  223,460 </v>
      </c>
      <c r="F144" s="116" t="str">
        <f t="shared" si="21"/>
        <v>  262,025 </v>
      </c>
      <c r="G144" s="116" t="str">
        <f t="shared" si="19"/>
        <v>  3,632,988 </v>
      </c>
    </row>
    <row r="145" ht="14.25" customHeight="1">
      <c r="A145" s="73"/>
      <c r="B145" s="73" t="s">
        <v>352</v>
      </c>
      <c r="C145" s="116" t="str">
        <f t="shared" si="20"/>
        <v>  3,632,988 </v>
      </c>
      <c r="D145" s="116" t="str">
        <f t="shared" si="16"/>
        <v>  36,330 </v>
      </c>
      <c r="E145" s="116" t="str">
        <f t="shared" si="17"/>
        <v>  225,695 </v>
      </c>
      <c r="F145" s="116" t="str">
        <f t="shared" si="21"/>
        <v>  262,025 </v>
      </c>
      <c r="G145" s="116" t="str">
        <f t="shared" si="19"/>
        <v>  3,407,293 </v>
      </c>
    </row>
    <row r="146" ht="14.25" customHeight="1">
      <c r="A146" s="73"/>
      <c r="B146" s="73" t="s">
        <v>353</v>
      </c>
      <c r="C146" s="116" t="str">
        <f t="shared" si="20"/>
        <v>  3,407,293 </v>
      </c>
      <c r="D146" s="116" t="str">
        <f t="shared" si="16"/>
        <v>  34,073 </v>
      </c>
      <c r="E146" s="116" t="str">
        <f t="shared" si="17"/>
        <v>  227,952 </v>
      </c>
      <c r="F146" s="116" t="str">
        <f t="shared" si="21"/>
        <v>  262,025 </v>
      </c>
      <c r="G146" s="116" t="str">
        <f t="shared" si="19"/>
        <v>  3,179,342 </v>
      </c>
    </row>
    <row r="147" ht="14.25" customHeight="1">
      <c r="A147" s="73"/>
      <c r="B147" s="73" t="s">
        <v>354</v>
      </c>
      <c r="C147" s="116" t="str">
        <f t="shared" si="20"/>
        <v>  3,179,342 </v>
      </c>
      <c r="D147" s="116" t="str">
        <f t="shared" si="16"/>
        <v>  31,793 </v>
      </c>
      <c r="E147" s="116" t="str">
        <f t="shared" si="17"/>
        <v>  230,231 </v>
      </c>
      <c r="F147" s="116" t="str">
        <f t="shared" si="21"/>
        <v>  262,025 </v>
      </c>
      <c r="G147" s="116" t="str">
        <f t="shared" si="19"/>
        <v>  2,949,110 </v>
      </c>
    </row>
    <row r="148" ht="14.25" customHeight="1">
      <c r="A148" s="73" t="s">
        <v>355</v>
      </c>
      <c r="B148" s="73" t="s">
        <v>356</v>
      </c>
      <c r="C148" s="116" t="str">
        <f t="shared" si="20"/>
        <v>  2,949,110 </v>
      </c>
      <c r="D148" s="116" t="str">
        <f t="shared" si="16"/>
        <v>  29,491 </v>
      </c>
      <c r="E148" s="116" t="str">
        <f t="shared" si="17"/>
        <v>  232,534 </v>
      </c>
      <c r="F148" s="116" t="str">
        <f t="shared" si="21"/>
        <v>  262,025 </v>
      </c>
      <c r="G148" s="116" t="str">
        <f t="shared" si="19"/>
        <v>  2,716,576 </v>
      </c>
    </row>
    <row r="149" ht="14.25" customHeight="1">
      <c r="A149" s="73"/>
      <c r="B149" s="73" t="s">
        <v>357</v>
      </c>
      <c r="C149" s="116" t="str">
        <f t="shared" si="20"/>
        <v>  2,716,576 </v>
      </c>
      <c r="D149" s="116" t="str">
        <f t="shared" si="16"/>
        <v>  27,166 </v>
      </c>
      <c r="E149" s="116" t="str">
        <f t="shared" si="17"/>
        <v>  234,859 </v>
      </c>
      <c r="F149" s="116" t="str">
        <f t="shared" si="21"/>
        <v>  262,025 </v>
      </c>
      <c r="G149" s="116" t="str">
        <f t="shared" si="19"/>
        <v>  2,481,717 </v>
      </c>
    </row>
    <row r="150" ht="14.25" customHeight="1">
      <c r="A150" s="73"/>
      <c r="B150" s="73" t="s">
        <v>358</v>
      </c>
      <c r="C150" s="116" t="str">
        <f t="shared" si="20"/>
        <v>  2,481,717 </v>
      </c>
      <c r="D150" s="116" t="str">
        <f t="shared" si="16"/>
        <v>  24,817 </v>
      </c>
      <c r="E150" s="116" t="str">
        <f t="shared" si="17"/>
        <v>  237,208 </v>
      </c>
      <c r="F150" s="116" t="str">
        <f t="shared" si="21"/>
        <v>  262,025 </v>
      </c>
      <c r="G150" s="116" t="str">
        <f t="shared" si="19"/>
        <v>  2,244,510 </v>
      </c>
    </row>
    <row r="151" ht="14.25" customHeight="1">
      <c r="A151" s="73"/>
      <c r="B151" s="73" t="s">
        <v>359</v>
      </c>
      <c r="C151" s="116" t="str">
        <f t="shared" si="20"/>
        <v>  2,244,510 </v>
      </c>
      <c r="D151" s="116" t="str">
        <f t="shared" si="16"/>
        <v>  22,445 </v>
      </c>
      <c r="E151" s="116" t="str">
        <f t="shared" si="17"/>
        <v>  239,580 </v>
      </c>
      <c r="F151" s="116" t="str">
        <f t="shared" si="21"/>
        <v>  262,025 </v>
      </c>
      <c r="G151" s="116" t="str">
        <f t="shared" si="19"/>
        <v>  2,004,930 </v>
      </c>
    </row>
    <row r="152" ht="14.25" customHeight="1">
      <c r="A152" s="73"/>
      <c r="B152" s="73" t="s">
        <v>360</v>
      </c>
      <c r="C152" s="116" t="str">
        <f t="shared" si="20"/>
        <v>  2,004,930 </v>
      </c>
      <c r="D152" s="116" t="str">
        <f t="shared" si="16"/>
        <v>  20,049 </v>
      </c>
      <c r="E152" s="116" t="str">
        <f t="shared" si="17"/>
        <v>  241,976 </v>
      </c>
      <c r="F152" s="116" t="str">
        <f t="shared" si="21"/>
        <v>  262,025 </v>
      </c>
      <c r="G152" s="116" t="str">
        <f t="shared" si="19"/>
        <v>  1,762,954 </v>
      </c>
    </row>
    <row r="153" ht="14.25" customHeight="1">
      <c r="A153" s="73"/>
      <c r="B153" s="73" t="s">
        <v>361</v>
      </c>
      <c r="C153" s="116" t="str">
        <f t="shared" si="20"/>
        <v>  1,762,954 </v>
      </c>
      <c r="D153" s="116" t="str">
        <f t="shared" si="16"/>
        <v>  17,630 </v>
      </c>
      <c r="E153" s="116" t="str">
        <f t="shared" si="17"/>
        <v>  244,395 </v>
      </c>
      <c r="F153" s="116" t="str">
        <f t="shared" si="21"/>
        <v>  262,025 </v>
      </c>
      <c r="G153" s="116" t="str">
        <f t="shared" si="19"/>
        <v>  1,518,559 </v>
      </c>
    </row>
    <row r="154" ht="14.25" customHeight="1">
      <c r="A154" s="73"/>
      <c r="B154" s="73" t="s">
        <v>362</v>
      </c>
      <c r="C154" s="116" t="str">
        <f t="shared" si="20"/>
        <v>  1,518,559 </v>
      </c>
      <c r="D154" s="116" t="str">
        <f t="shared" si="16"/>
        <v>  15,186 </v>
      </c>
      <c r="E154" s="116" t="str">
        <f t="shared" si="17"/>
        <v>  246,839 </v>
      </c>
      <c r="F154" s="116" t="str">
        <f t="shared" si="21"/>
        <v>  262,025 </v>
      </c>
      <c r="G154" s="116" t="str">
        <f t="shared" si="19"/>
        <v>  1,271,720 </v>
      </c>
    </row>
    <row r="155" ht="14.25" customHeight="1">
      <c r="A155" s="73"/>
      <c r="B155" s="73" t="s">
        <v>363</v>
      </c>
      <c r="C155" s="116" t="str">
        <f t="shared" si="20"/>
        <v>  1,271,720 </v>
      </c>
      <c r="D155" s="116" t="str">
        <f t="shared" si="16"/>
        <v>  12,717 </v>
      </c>
      <c r="E155" s="116" t="str">
        <f t="shared" si="17"/>
        <v>  249,308 </v>
      </c>
      <c r="F155" s="116" t="str">
        <f t="shared" si="21"/>
        <v>  262,025 </v>
      </c>
      <c r="G155" s="116" t="str">
        <f t="shared" si="19"/>
        <v>  1,022,412 </v>
      </c>
    </row>
    <row r="156" ht="14.25" customHeight="1">
      <c r="A156" s="73"/>
      <c r="B156" s="73" t="s">
        <v>364</v>
      </c>
      <c r="C156" s="116" t="str">
        <f t="shared" si="20"/>
        <v>  1,022,412 </v>
      </c>
      <c r="D156" s="116" t="str">
        <f t="shared" si="16"/>
        <v>  10,224 </v>
      </c>
      <c r="E156" s="116" t="str">
        <f t="shared" si="17"/>
        <v>  251,801 </v>
      </c>
      <c r="F156" s="116" t="str">
        <f t="shared" si="21"/>
        <v>  262,025 </v>
      </c>
      <c r="G156" s="116" t="str">
        <f t="shared" si="19"/>
        <v>  770,611 </v>
      </c>
    </row>
    <row r="157" ht="14.25" customHeight="1">
      <c r="A157" s="73"/>
      <c r="B157" s="73" t="s">
        <v>365</v>
      </c>
      <c r="C157" s="116" t="str">
        <f t="shared" si="20"/>
        <v>  770,611 </v>
      </c>
      <c r="D157" s="116" t="str">
        <f t="shared" si="16"/>
        <v>  7,706 </v>
      </c>
      <c r="E157" s="116" t="str">
        <f t="shared" si="17"/>
        <v>  254,319 </v>
      </c>
      <c r="F157" s="116" t="str">
        <f t="shared" si="21"/>
        <v>  262,025 </v>
      </c>
      <c r="G157" s="116" t="str">
        <f t="shared" si="19"/>
        <v>  516,292 </v>
      </c>
    </row>
    <row r="158" ht="14.25" customHeight="1">
      <c r="A158" s="73"/>
      <c r="B158" s="73" t="s">
        <v>366</v>
      </c>
      <c r="C158" s="116" t="str">
        <f t="shared" si="20"/>
        <v>  516,292 </v>
      </c>
      <c r="D158" s="116" t="str">
        <f t="shared" si="16"/>
        <v>  5,163 </v>
      </c>
      <c r="E158" s="116" t="str">
        <f t="shared" si="17"/>
        <v>  256,862 </v>
      </c>
      <c r="F158" s="116" t="str">
        <f t="shared" si="21"/>
        <v>  262,025 </v>
      </c>
      <c r="G158" s="116" t="str">
        <f t="shared" si="19"/>
        <v>  259,431 </v>
      </c>
    </row>
    <row r="159" ht="14.25" customHeight="1">
      <c r="A159" s="73"/>
      <c r="B159" s="73" t="s">
        <v>367</v>
      </c>
      <c r="C159" s="116" t="str">
        <f t="shared" si="20"/>
        <v>  259,431 </v>
      </c>
      <c r="D159" s="116" t="str">
        <f t="shared" si="16"/>
        <v>  2,594 </v>
      </c>
      <c r="E159" s="116" t="str">
        <f t="shared" si="17"/>
        <v>  259,431 </v>
      </c>
      <c r="F159" s="116" t="str">
        <f t="shared" si="21"/>
        <v>  262,025 </v>
      </c>
      <c r="G159" s="116" t="str">
        <f t="shared" si="19"/>
        <v>  0 </v>
      </c>
    </row>
    <row r="160" ht="14.25" customHeight="1"/>
    <row r="161" ht="14.25" customHeight="1"/>
    <row r="162" ht="14.25" customHeight="1"/>
    <row r="163" ht="14.25" customHeight="1"/>
    <row r="164" ht="14.25" customHeight="1"/>
    <row r="165" ht="14.25" customHeight="1"/>
    <row r="166" ht="14.25" customHeight="1">
      <c r="A166" s="274" t="s">
        <v>494</v>
      </c>
    </row>
    <row r="167" ht="14.25" customHeight="1">
      <c r="A167" s="275"/>
      <c r="B167" s="275"/>
      <c r="C167" s="275"/>
      <c r="D167" s="275"/>
      <c r="E167" s="275"/>
      <c r="F167" s="275"/>
      <c r="G167" s="275"/>
      <c r="H167" s="275"/>
      <c r="I167" s="275"/>
    </row>
    <row r="168" ht="14.25" customHeight="1">
      <c r="A168" s="276" t="s">
        <v>495</v>
      </c>
      <c r="B168" s="277" t="s">
        <v>496</v>
      </c>
      <c r="C168" s="277" t="s">
        <v>193</v>
      </c>
      <c r="D168" s="277" t="s">
        <v>194</v>
      </c>
      <c r="E168" s="277" t="s">
        <v>195</v>
      </c>
      <c r="F168" s="277" t="s">
        <v>196</v>
      </c>
      <c r="G168" s="277" t="s">
        <v>197</v>
      </c>
      <c r="H168" s="277" t="s">
        <v>198</v>
      </c>
      <c r="I168" s="277" t="s">
        <v>199</v>
      </c>
    </row>
    <row r="169" ht="14.25" customHeight="1">
      <c r="A169" s="155"/>
      <c r="B169" s="155"/>
      <c r="C169" s="155"/>
      <c r="D169" s="155"/>
      <c r="E169" s="155"/>
      <c r="F169" s="155"/>
      <c r="G169" s="155"/>
      <c r="H169" s="155"/>
      <c r="I169" s="155"/>
    </row>
    <row r="170" ht="14.25" customHeight="1">
      <c r="A170" s="155" t="s">
        <v>518</v>
      </c>
      <c r="B170" s="155"/>
      <c r="C170" s="278" t="str">
        <f t="shared" ref="C170:I170" si="22">B51</f>
        <v>2,355,807.72</v>
      </c>
      <c r="D170" s="278" t="str">
        <f t="shared" si="22"/>
        <v>3,195,840.92</v>
      </c>
      <c r="E170" s="278" t="str">
        <f t="shared" si="22"/>
        <v>4,163,551.65</v>
      </c>
      <c r="F170" s="278" t="str">
        <f t="shared" si="22"/>
        <v>5,239,834.76</v>
      </c>
      <c r="G170" s="278" t="str">
        <f t="shared" si="22"/>
        <v>6,431,409.70</v>
      </c>
      <c r="H170" s="278" t="str">
        <f t="shared" si="22"/>
        <v>7,733,810.72</v>
      </c>
      <c r="I170" s="278" t="str">
        <f t="shared" si="22"/>
        <v>9,044,425.28</v>
      </c>
    </row>
    <row r="171" ht="14.25" customHeight="1">
      <c r="A171" s="155"/>
      <c r="B171" s="155"/>
      <c r="C171" s="278"/>
      <c r="D171" s="278"/>
      <c r="E171" s="278"/>
      <c r="F171" s="278"/>
      <c r="G171" s="278"/>
      <c r="H171" s="278"/>
      <c r="I171" s="278"/>
    </row>
    <row r="172" ht="14.25" customHeight="1">
      <c r="A172" s="158" t="s">
        <v>781</v>
      </c>
      <c r="B172" s="158"/>
      <c r="C172" s="278" t="str">
        <f t="shared" ref="C172:I172" si="23">B42</f>
        <v>1,203,735.77</v>
      </c>
      <c r="D172" s="278" t="str">
        <f t="shared" si="23"/>
        <v>1,203,735.77</v>
      </c>
      <c r="E172" s="278" t="str">
        <f t="shared" si="23"/>
        <v>1,203,735.77</v>
      </c>
      <c r="F172" s="278" t="str">
        <f t="shared" si="23"/>
        <v>1,203,735.77</v>
      </c>
      <c r="G172" s="278" t="str">
        <f t="shared" si="23"/>
        <v>1,203,735.77</v>
      </c>
      <c r="H172" s="278" t="str">
        <f t="shared" si="23"/>
        <v>1,203,735.77</v>
      </c>
      <c r="I172" s="278" t="str">
        <f t="shared" si="23"/>
        <v>1,203,735.77</v>
      </c>
    </row>
    <row r="173" ht="14.25" customHeight="1">
      <c r="A173" s="155" t="s">
        <v>499</v>
      </c>
      <c r="B173" s="155"/>
      <c r="C173" s="278" t="str">
        <f t="shared" ref="C173:I173" si="24">B43</f>
        <v>149,729.10</v>
      </c>
      <c r="D173" s="278" t="str">
        <f t="shared" si="24"/>
        <v>149,729.10</v>
      </c>
      <c r="E173" s="278" t="str">
        <f t="shared" si="24"/>
        <v>149,729.10</v>
      </c>
      <c r="F173" s="278" t="str">
        <f t="shared" si="24"/>
        <v>149,729.10</v>
      </c>
      <c r="G173" s="278" t="str">
        <f t="shared" si="24"/>
        <v>149,729.10</v>
      </c>
      <c r="H173" s="278" t="str">
        <f t="shared" si="24"/>
        <v>0.00</v>
      </c>
      <c r="I173" s="278" t="str">
        <f t="shared" si="24"/>
        <v>0.00</v>
      </c>
    </row>
    <row r="174" ht="14.25" customHeight="1">
      <c r="A174" s="155"/>
      <c r="B174" s="155"/>
      <c r="C174" s="155"/>
      <c r="D174" s="155"/>
      <c r="E174" s="155"/>
      <c r="F174" s="155"/>
      <c r="G174" s="155"/>
      <c r="H174" s="155"/>
      <c r="I174" s="155"/>
    </row>
    <row r="175" ht="14.25" customHeight="1">
      <c r="A175" s="155" t="s">
        <v>500</v>
      </c>
      <c r="B175" s="155"/>
      <c r="C175" s="278" t="str">
        <f t="shared" ref="C175:I175" si="25">SUM(C170:C173)</f>
        <v>3,709,272.59</v>
      </c>
      <c r="D175" s="278" t="str">
        <f t="shared" si="25"/>
        <v>4,549,305.79</v>
      </c>
      <c r="E175" s="278" t="str">
        <f t="shared" si="25"/>
        <v>5,517,016.52</v>
      </c>
      <c r="F175" s="278" t="str">
        <f t="shared" si="25"/>
        <v>6,593,299.63</v>
      </c>
      <c r="G175" s="278" t="str">
        <f t="shared" si="25"/>
        <v>7,784,874.57</v>
      </c>
      <c r="H175" s="278" t="str">
        <f t="shared" si="25"/>
        <v>8,937,546.49</v>
      </c>
      <c r="I175" s="278" t="str">
        <f t="shared" si="25"/>
        <v>10,248,161.05</v>
      </c>
    </row>
    <row r="176" ht="14.25" customHeight="1">
      <c r="A176" s="155" t="s">
        <v>501</v>
      </c>
      <c r="B176" s="279" t="str">
        <f>-'1.Project Cost and MOF'!M22+'1.Project Cost and MOF'!M19</f>
        <v>  (17,550,697.6291)</v>
      </c>
      <c r="C176" s="278" t="str">
        <f t="shared" ref="C176:I176" si="26">C175</f>
        <v>3,709,272.59</v>
      </c>
      <c r="D176" s="278" t="str">
        <f t="shared" si="26"/>
        <v>4,549,305.79</v>
      </c>
      <c r="E176" s="278" t="str">
        <f t="shared" si="26"/>
        <v>5,517,016.52</v>
      </c>
      <c r="F176" s="278" t="str">
        <f t="shared" si="26"/>
        <v>6,593,299.63</v>
      </c>
      <c r="G176" s="278" t="str">
        <f t="shared" si="26"/>
        <v>7,784,874.57</v>
      </c>
      <c r="H176" s="278" t="str">
        <f t="shared" si="26"/>
        <v>8,937,546.49</v>
      </c>
      <c r="I176" s="278" t="str">
        <f t="shared" si="26"/>
        <v>10,248,161.05</v>
      </c>
    </row>
    <row r="177" ht="14.25" customHeight="1">
      <c r="A177" s="155" t="s">
        <v>502</v>
      </c>
      <c r="B177" s="280" t="str">
        <f>IRR(B176:I176)</f>
        <v>26.67%</v>
      </c>
      <c r="C177" s="278"/>
      <c r="D177" s="278"/>
      <c r="E177" s="278"/>
      <c r="F177" s="278"/>
      <c r="G177" s="278"/>
      <c r="H177" s="278"/>
      <c r="I177" s="278"/>
    </row>
    <row r="178" ht="14.25" customHeight="1">
      <c r="A178" s="155"/>
      <c r="B178" s="155"/>
      <c r="C178" s="155"/>
      <c r="D178" s="155"/>
      <c r="E178" s="155"/>
      <c r="F178" s="155"/>
      <c r="G178" s="155"/>
      <c r="H178" s="155"/>
      <c r="I178" s="155"/>
    </row>
    <row r="179" ht="14.25" customHeight="1">
      <c r="A179" s="281" t="s">
        <v>503</v>
      </c>
      <c r="B179" s="282"/>
      <c r="C179" s="283" t="str">
        <f>1/(1+$B$177)</f>
        <v>0.79</v>
      </c>
      <c r="D179" s="283" t="str">
        <f t="shared" ref="D179:I179" si="27">C179/(1+$B$177)</f>
        <v>0.62</v>
      </c>
      <c r="E179" s="283" t="str">
        <f t="shared" si="27"/>
        <v>0.49</v>
      </c>
      <c r="F179" s="283" t="str">
        <f t="shared" si="27"/>
        <v>0.39</v>
      </c>
      <c r="G179" s="283" t="str">
        <f t="shared" si="27"/>
        <v>0.31</v>
      </c>
      <c r="H179" s="283" t="str">
        <f t="shared" si="27"/>
        <v>0.24</v>
      </c>
      <c r="I179" s="283" t="str">
        <f t="shared" si="27"/>
        <v>0.19</v>
      </c>
    </row>
    <row r="180" ht="14.25" customHeight="1">
      <c r="A180" s="155" t="s">
        <v>504</v>
      </c>
      <c r="B180" s="155"/>
      <c r="C180" s="278" t="str">
        <f t="shared" ref="C180:I180" si="28">C175*C179</f>
        <v>2,928,402.13</v>
      </c>
      <c r="D180" s="278" t="str">
        <f t="shared" si="28"/>
        <v>2,835,496.13</v>
      </c>
      <c r="E180" s="278" t="str">
        <f t="shared" si="28"/>
        <v>2,714,752.10</v>
      </c>
      <c r="F180" s="278" t="str">
        <f t="shared" si="28"/>
        <v>2,561,360.28</v>
      </c>
      <c r="G180" s="278" t="str">
        <f t="shared" si="28"/>
        <v>2,387,599.29</v>
      </c>
      <c r="H180" s="278" t="str">
        <f t="shared" si="28"/>
        <v>2,164,064.00</v>
      </c>
      <c r="I180" s="278" t="str">
        <f t="shared" si="28"/>
        <v>1,959,023.71</v>
      </c>
    </row>
    <row r="181" ht="14.25" customHeight="1">
      <c r="A181" s="155" t="s">
        <v>505</v>
      </c>
      <c r="B181" s="155"/>
      <c r="C181" s="287" t="str">
        <f>SUM(C180:I180)</f>
        <v>17,550,697.63</v>
      </c>
      <c r="D181" s="5"/>
      <c r="E181" s="5"/>
      <c r="F181" s="5"/>
      <c r="G181" s="5"/>
      <c r="H181" s="5"/>
      <c r="I181" s="6"/>
    </row>
    <row r="182" ht="14.25" customHeight="1">
      <c r="A182" s="155"/>
      <c r="B182" s="155"/>
      <c r="C182" s="278"/>
      <c r="D182" s="278"/>
      <c r="E182" s="278"/>
      <c r="F182" s="278"/>
      <c r="G182" s="278"/>
      <c r="H182" s="278"/>
      <c r="I182" s="278"/>
    </row>
    <row r="183" ht="14.25" customHeight="1">
      <c r="A183" s="288" t="s">
        <v>506</v>
      </c>
      <c r="B183" s="288"/>
      <c r="C183" s="289" t="str">
        <f>-B176</f>
        <v>17,550,697.63</v>
      </c>
    </row>
    <row r="184" ht="14.25" customHeight="1">
      <c r="E184" s="285" t="str">
        <f>C181-C183</f>
        <v>0.00</v>
      </c>
    </row>
    <row r="185" ht="14.25" customHeight="1">
      <c r="A185" s="290" t="s">
        <v>507</v>
      </c>
    </row>
    <row r="186" ht="14.25" customHeight="1"/>
    <row r="187" ht="14.25" customHeight="1">
      <c r="A187" s="25" t="s">
        <v>508</v>
      </c>
    </row>
    <row r="188" ht="14.25" customHeight="1"/>
    <row r="189" ht="14.25" customHeight="1">
      <c r="A189" s="291" t="s">
        <v>190</v>
      </c>
      <c r="B189" s="292" t="s">
        <v>193</v>
      </c>
      <c r="C189" s="292" t="s">
        <v>194</v>
      </c>
      <c r="D189" s="292" t="s">
        <v>195</v>
      </c>
      <c r="E189" s="292" t="s">
        <v>196</v>
      </c>
      <c r="F189" s="292" t="s">
        <v>197</v>
      </c>
      <c r="G189" s="292" t="s">
        <v>198</v>
      </c>
      <c r="H189" s="292" t="s">
        <v>199</v>
      </c>
    </row>
    <row r="190" ht="14.25" customHeight="1">
      <c r="A190" s="73"/>
      <c r="B190" s="73"/>
      <c r="C190" s="73"/>
      <c r="D190" s="73"/>
      <c r="E190" s="73"/>
      <c r="F190" s="73"/>
      <c r="G190" s="73"/>
      <c r="H190" s="73"/>
    </row>
    <row r="191" ht="14.25" customHeight="1">
      <c r="A191" s="73" t="s">
        <v>509</v>
      </c>
      <c r="B191" s="73"/>
      <c r="C191" s="73"/>
      <c r="D191" s="73"/>
      <c r="E191" s="73"/>
      <c r="F191" s="73"/>
      <c r="G191" s="73"/>
      <c r="H191" s="73"/>
    </row>
    <row r="192" ht="14.25" customHeight="1">
      <c r="A192" s="73"/>
      <c r="B192" s="116"/>
      <c r="C192" s="116"/>
      <c r="D192" s="116"/>
      <c r="E192" s="116"/>
      <c r="F192" s="116"/>
      <c r="G192" s="116"/>
      <c r="H192" s="116"/>
    </row>
    <row r="193" ht="14.25" customHeight="1">
      <c r="A193" s="293" t="str">
        <f t="shared" ref="A193:H193" si="29">A8</f>
        <v>Faclitiy 1 - Cleaning &amp; Grading</v>
      </c>
      <c r="B193" s="116" t="str">
        <f t="shared" si="29"/>
        <v>  -   </v>
      </c>
      <c r="C193" s="116" t="str">
        <f t="shared" si="29"/>
        <v>  -   </v>
      </c>
      <c r="D193" s="116" t="str">
        <f t="shared" si="29"/>
        <v>  -   </v>
      </c>
      <c r="E193" s="116" t="str">
        <f t="shared" si="29"/>
        <v>  -   </v>
      </c>
      <c r="F193" s="116" t="str">
        <f t="shared" si="29"/>
        <v>  -   </v>
      </c>
      <c r="G193" s="116" t="str">
        <f t="shared" si="29"/>
        <v>  -   </v>
      </c>
      <c r="H193" s="116" t="str">
        <f t="shared" si="29"/>
        <v>  -   </v>
      </c>
    </row>
    <row r="194" ht="14.25" customHeight="1">
      <c r="A194" s="293" t="str">
        <f t="shared" ref="A194:H194" si="30">A9</f>
        <v>Faclitiy 2 - Processing Unit- Dal Mill</v>
      </c>
      <c r="B194" s="116" t="str">
        <f t="shared" si="30"/>
        <v>  16,279,465 </v>
      </c>
      <c r="C194" s="116" t="str">
        <f t="shared" si="30"/>
        <v>  20,208,249 </v>
      </c>
      <c r="D194" s="116" t="str">
        <f t="shared" si="30"/>
        <v>  24,256,547 </v>
      </c>
      <c r="E194" s="116" t="str">
        <f t="shared" si="30"/>
        <v>  28,659,153 </v>
      </c>
      <c r="F194" s="116" t="str">
        <f t="shared" si="30"/>
        <v>  33,441,379 </v>
      </c>
      <c r="G194" s="116" t="str">
        <f t="shared" si="30"/>
        <v>  38,630,180 </v>
      </c>
      <c r="H194" s="116" t="str">
        <f t="shared" si="30"/>
        <v>  44,254,257 </v>
      </c>
    </row>
    <row r="195" ht="14.25" customHeight="1">
      <c r="A195" s="293" t="str">
        <f t="shared" ref="A195:H195" si="31">A10</f>
        <v>Faclitiy 3 - Warehouse</v>
      </c>
      <c r="B195" s="116" t="str">
        <f t="shared" si="31"/>
        <v>  2,280,960 </v>
      </c>
      <c r="C195" s="116" t="str">
        <f t="shared" si="31"/>
        <v>  2,544,696 </v>
      </c>
      <c r="D195" s="116" t="str">
        <f t="shared" si="31"/>
        <v>  2,829,103 </v>
      </c>
      <c r="E195" s="116" t="str">
        <f t="shared" si="31"/>
        <v>  3,135,589 </v>
      </c>
      <c r="F195" s="116" t="str">
        <f t="shared" si="31"/>
        <v>  3,465,651 </v>
      </c>
      <c r="G195" s="116" t="str">
        <f t="shared" si="31"/>
        <v>  3,638,934 </v>
      </c>
      <c r="H195" s="116" t="str">
        <f t="shared" si="31"/>
        <v>  3,820,881 </v>
      </c>
    </row>
    <row r="196" ht="14.25" customHeight="1">
      <c r="A196" s="293" t="str">
        <f t="shared" ref="A196:H196" si="32">A11</f>
        <v>Faclitiy 4 - Custom Hiring </v>
      </c>
      <c r="B196" s="116" t="str">
        <f t="shared" si="32"/>
        <v>  2,056,000 </v>
      </c>
      <c r="C196" s="116" t="str">
        <f t="shared" si="32"/>
        <v>  2,158,800 </v>
      </c>
      <c r="D196" s="116" t="str">
        <f t="shared" si="32"/>
        <v>  2,266,740 </v>
      </c>
      <c r="E196" s="116" t="str">
        <f t="shared" si="32"/>
        <v>  2,380,077 </v>
      </c>
      <c r="F196" s="116" t="str">
        <f t="shared" si="32"/>
        <v>  2,499,081 </v>
      </c>
      <c r="G196" s="116" t="str">
        <f t="shared" si="32"/>
        <v>  2,624,035 </v>
      </c>
      <c r="H196" s="116" t="str">
        <f t="shared" si="32"/>
        <v>  2,755,237 </v>
      </c>
    </row>
    <row r="197" ht="14.25" customHeight="1">
      <c r="A197" s="293" t="str">
        <f t="shared" ref="A197:H197" si="33">A12</f>
        <v>Faclitiy 5 - Agri Input Centre</v>
      </c>
      <c r="B197" s="116" t="str">
        <f t="shared" si="33"/>
        <v>  -   </v>
      </c>
      <c r="C197" s="116" t="str">
        <f t="shared" si="33"/>
        <v>  -   </v>
      </c>
      <c r="D197" s="116" t="str">
        <f t="shared" si="33"/>
        <v>  -   </v>
      </c>
      <c r="E197" s="116" t="str">
        <f t="shared" si="33"/>
        <v>  -   </v>
      </c>
      <c r="F197" s="116" t="str">
        <f t="shared" si="33"/>
        <v>  -   </v>
      </c>
      <c r="G197" s="116" t="str">
        <f t="shared" si="33"/>
        <v>  -   </v>
      </c>
      <c r="H197" s="116" t="str">
        <f t="shared" si="33"/>
        <v>  -   </v>
      </c>
    </row>
    <row r="198" ht="14.25" customHeight="1">
      <c r="A198" s="293" t="str">
        <f t="shared" ref="A198:H198" si="34">A13</f>
        <v>Facility 6 - Processing Unit - Horti Commodity</v>
      </c>
      <c r="B198" s="116" t="str">
        <f t="shared" si="34"/>
        <v>  -   </v>
      </c>
      <c r="C198" s="116" t="str">
        <f t="shared" si="34"/>
        <v>  -   </v>
      </c>
      <c r="D198" s="116" t="str">
        <f t="shared" si="34"/>
        <v>  -   </v>
      </c>
      <c r="E198" s="116" t="str">
        <f t="shared" si="34"/>
        <v>  -   </v>
      </c>
      <c r="F198" s="116" t="str">
        <f t="shared" si="34"/>
        <v>  -   </v>
      </c>
      <c r="G198" s="116" t="str">
        <f t="shared" si="34"/>
        <v>  -   </v>
      </c>
      <c r="H198" s="116" t="str">
        <f t="shared" si="34"/>
        <v>  -   </v>
      </c>
    </row>
    <row r="199" ht="14.25" customHeight="1">
      <c r="A199" s="293"/>
      <c r="B199" s="293"/>
      <c r="C199" s="293"/>
      <c r="D199" s="293"/>
      <c r="E199" s="293"/>
      <c r="F199" s="293"/>
      <c r="G199" s="293"/>
      <c r="H199" s="293"/>
    </row>
    <row r="200" ht="14.25" customHeight="1">
      <c r="A200" s="117" t="s">
        <v>510</v>
      </c>
      <c r="B200" s="118" t="str">
        <f t="shared" ref="B200:H200" si="35">SUM(B193:B199)</f>
        <v>  20,616,425 </v>
      </c>
      <c r="C200" s="118" t="str">
        <f t="shared" si="35"/>
        <v>  24,911,745 </v>
      </c>
      <c r="D200" s="118" t="str">
        <f t="shared" si="35"/>
        <v>  29,352,390 </v>
      </c>
      <c r="E200" s="118" t="str">
        <f t="shared" si="35"/>
        <v>  34,174,820 </v>
      </c>
      <c r="F200" s="118" t="str">
        <f t="shared" si="35"/>
        <v>  39,406,111 </v>
      </c>
      <c r="G200" s="118" t="str">
        <f t="shared" si="35"/>
        <v>  44,893,149 </v>
      </c>
      <c r="H200" s="118" t="str">
        <f t="shared" si="35"/>
        <v>  50,830,374 </v>
      </c>
    </row>
    <row r="201" ht="14.25" customHeight="1">
      <c r="A201" s="73"/>
      <c r="B201" s="116"/>
      <c r="C201" s="116"/>
      <c r="D201" s="116"/>
      <c r="E201" s="116"/>
      <c r="F201" s="116"/>
      <c r="G201" s="116"/>
      <c r="H201" s="116"/>
    </row>
    <row r="202" ht="14.25" customHeight="1">
      <c r="A202" s="73" t="s">
        <v>511</v>
      </c>
      <c r="B202" s="116" t="str">
        <f t="shared" ref="B202:H202" si="36">B25</f>
        <v>  13,923,572 </v>
      </c>
      <c r="C202" s="116" t="str">
        <f t="shared" si="36"/>
        <v>  16,999,480 </v>
      </c>
      <c r="D202" s="116" t="str">
        <f t="shared" si="36"/>
        <v>  20,131,840 </v>
      </c>
      <c r="E202" s="116" t="str">
        <f t="shared" si="36"/>
        <v>  23,534,939 </v>
      </c>
      <c r="F202" s="116" t="str">
        <f t="shared" si="36"/>
        <v>  27,228,017 </v>
      </c>
      <c r="G202" s="116" t="str">
        <f t="shared" si="36"/>
        <v>  31,216,403 </v>
      </c>
      <c r="H202" s="116" t="str">
        <f t="shared" si="36"/>
        <v>  35,535,558 </v>
      </c>
    </row>
    <row r="203" ht="14.25" customHeight="1">
      <c r="A203" s="73"/>
      <c r="B203" s="116"/>
      <c r="C203" s="116"/>
      <c r="D203" s="116"/>
      <c r="E203" s="116"/>
      <c r="F203" s="116"/>
      <c r="G203" s="116"/>
      <c r="H203" s="116"/>
    </row>
    <row r="204" ht="14.25" customHeight="1">
      <c r="A204" s="117" t="s">
        <v>512</v>
      </c>
      <c r="B204" s="118" t="str">
        <f t="shared" ref="B204:H204" si="37">B200-B202</f>
        <v>  6,692,853 </v>
      </c>
      <c r="C204" s="118" t="str">
        <f t="shared" si="37"/>
        <v>  7,912,265 </v>
      </c>
      <c r="D204" s="118" t="str">
        <f t="shared" si="37"/>
        <v>  9,220,549 </v>
      </c>
      <c r="E204" s="118" t="str">
        <f t="shared" si="37"/>
        <v>  10,639,881 </v>
      </c>
      <c r="F204" s="118" t="str">
        <f t="shared" si="37"/>
        <v>  12,178,095 </v>
      </c>
      <c r="G204" s="118" t="str">
        <f t="shared" si="37"/>
        <v>  13,676,745 </v>
      </c>
      <c r="H204" s="118" t="str">
        <f t="shared" si="37"/>
        <v>  15,294,816 </v>
      </c>
    </row>
    <row r="205" ht="14.25" customHeight="1">
      <c r="A205" s="73"/>
      <c r="B205" s="116"/>
      <c r="C205" s="116"/>
      <c r="D205" s="116"/>
      <c r="E205" s="116"/>
      <c r="F205" s="116"/>
      <c r="G205" s="116"/>
      <c r="H205" s="116"/>
    </row>
    <row r="206" ht="14.25" customHeight="1">
      <c r="A206" s="117" t="s">
        <v>513</v>
      </c>
      <c r="B206" s="118" t="str">
        <f t="shared" ref="B206:H206" si="38">B36+B42+B43</f>
        <v>  2,557,465 </v>
      </c>
      <c r="C206" s="118" t="str">
        <f t="shared" si="38"/>
        <v>  2,617,665 </v>
      </c>
      <c r="D206" s="118" t="str">
        <f t="shared" si="38"/>
        <v>  2,680,875 </v>
      </c>
      <c r="E206" s="118" t="str">
        <f t="shared" si="38"/>
        <v>  2,747,245 </v>
      </c>
      <c r="F206" s="118" t="str">
        <f t="shared" si="38"/>
        <v>  2,816,934 </v>
      </c>
      <c r="G206" s="118" t="str">
        <f t="shared" si="38"/>
        <v>  2,740,379 </v>
      </c>
      <c r="H206" s="118" t="str">
        <f t="shared" si="38"/>
        <v>  2,817,211 </v>
      </c>
    </row>
    <row r="207" ht="14.25" customHeight="1">
      <c r="A207" s="73"/>
      <c r="B207" s="73"/>
      <c r="C207" s="73"/>
      <c r="D207" s="73"/>
      <c r="E207" s="73"/>
      <c r="F207" s="73"/>
      <c r="G207" s="73"/>
      <c r="H207" s="73"/>
    </row>
    <row r="208" ht="14.25" customHeight="1">
      <c r="A208" s="73" t="s">
        <v>514</v>
      </c>
      <c r="B208" s="202" t="str">
        <f t="shared" ref="B208:H208" si="39">B206/B204</f>
        <v>38%</v>
      </c>
      <c r="C208" s="202" t="str">
        <f t="shared" si="39"/>
        <v>33%</v>
      </c>
      <c r="D208" s="202" t="str">
        <f t="shared" si="39"/>
        <v>29%</v>
      </c>
      <c r="E208" s="202" t="str">
        <f t="shared" si="39"/>
        <v>26%</v>
      </c>
      <c r="F208" s="202" t="str">
        <f t="shared" si="39"/>
        <v>23%</v>
      </c>
      <c r="G208" s="202" t="str">
        <f t="shared" si="39"/>
        <v>20%</v>
      </c>
      <c r="H208" s="202" t="str">
        <f t="shared" si="39"/>
        <v>18%</v>
      </c>
    </row>
    <row r="209" ht="14.25" customHeight="1">
      <c r="A209" s="111"/>
      <c r="B209" s="111"/>
      <c r="C209" s="111"/>
      <c r="D209" s="111"/>
      <c r="E209" s="111"/>
      <c r="F209" s="111"/>
      <c r="G209" s="111"/>
      <c r="H209" s="111"/>
    </row>
    <row r="210" ht="14.25" customHeight="1">
      <c r="A210" s="294" t="s">
        <v>515</v>
      </c>
      <c r="B210" s="295" t="str">
        <f>AVERAGE(B208:H208)</f>
        <v>26.83%</v>
      </c>
      <c r="C210" s="111"/>
      <c r="D210" s="111"/>
      <c r="E210" s="111"/>
      <c r="F210" s="111"/>
      <c r="G210" s="111"/>
      <c r="H210" s="111"/>
    </row>
    <row r="211" ht="14.25" customHeight="1"/>
    <row r="212" ht="14.25" customHeight="1">
      <c r="A212" s="296" t="s">
        <v>516</v>
      </c>
    </row>
    <row r="213" ht="14.25" customHeight="1"/>
    <row r="214" ht="14.25" customHeight="1"/>
    <row r="215" ht="14.25" customHeight="1">
      <c r="A215" s="25" t="s">
        <v>517</v>
      </c>
    </row>
    <row r="216" ht="14.25" customHeight="1"/>
    <row r="217" ht="14.25" customHeight="1">
      <c r="A217" s="198" t="s">
        <v>495</v>
      </c>
      <c r="B217" s="199" t="s">
        <v>193</v>
      </c>
      <c r="C217" s="199" t="s">
        <v>194</v>
      </c>
      <c r="D217" s="199" t="s">
        <v>195</v>
      </c>
      <c r="E217" s="199" t="s">
        <v>196</v>
      </c>
      <c r="F217" s="199" t="s">
        <v>197</v>
      </c>
      <c r="G217" s="199" t="s">
        <v>198</v>
      </c>
      <c r="H217" s="199" t="s">
        <v>199</v>
      </c>
    </row>
    <row r="218" ht="14.25" customHeight="1">
      <c r="A218" s="73"/>
      <c r="B218" s="73"/>
      <c r="C218" s="73"/>
      <c r="D218" s="73"/>
      <c r="E218" s="73"/>
      <c r="F218" s="73"/>
      <c r="G218" s="73"/>
      <c r="H218" s="73"/>
    </row>
    <row r="219" ht="14.25" customHeight="1">
      <c r="A219" s="73" t="s">
        <v>518</v>
      </c>
      <c r="B219" s="297" t="str">
        <f t="shared" ref="B219:H219" si="40">B51</f>
        <v>2,355,808</v>
      </c>
      <c r="C219" s="297" t="str">
        <f t="shared" si="40"/>
        <v>3,195,841</v>
      </c>
      <c r="D219" s="297" t="str">
        <f t="shared" si="40"/>
        <v>4,163,552</v>
      </c>
      <c r="E219" s="297" t="str">
        <f t="shared" si="40"/>
        <v>5,239,835</v>
      </c>
      <c r="F219" s="297" t="str">
        <f t="shared" si="40"/>
        <v>6,431,410</v>
      </c>
      <c r="G219" s="297" t="str">
        <f t="shared" si="40"/>
        <v>7,733,811</v>
      </c>
      <c r="H219" s="297" t="str">
        <f t="shared" si="40"/>
        <v>9,044,425</v>
      </c>
    </row>
    <row r="220" ht="14.25" customHeight="1">
      <c r="A220" s="73"/>
      <c r="B220" s="297"/>
      <c r="C220" s="297"/>
      <c r="D220" s="297"/>
      <c r="E220" s="297"/>
      <c r="F220" s="297"/>
      <c r="G220" s="297"/>
      <c r="H220" s="297"/>
    </row>
    <row r="221" ht="14.25" customHeight="1">
      <c r="A221" s="73" t="s">
        <v>519</v>
      </c>
      <c r="B221" s="297" t="str">
        <f t="shared" ref="B221:H221" si="41">B42</f>
        <v>1,203,736</v>
      </c>
      <c r="C221" s="297" t="str">
        <f t="shared" si="41"/>
        <v>1,203,736</v>
      </c>
      <c r="D221" s="297" t="str">
        <f t="shared" si="41"/>
        <v>1,203,736</v>
      </c>
      <c r="E221" s="297" t="str">
        <f t="shared" si="41"/>
        <v>1,203,736</v>
      </c>
      <c r="F221" s="297" t="str">
        <f t="shared" si="41"/>
        <v>1,203,736</v>
      </c>
      <c r="G221" s="297" t="str">
        <f t="shared" si="41"/>
        <v>1,203,736</v>
      </c>
      <c r="H221" s="297" t="str">
        <f t="shared" si="41"/>
        <v>1,203,736</v>
      </c>
    </row>
    <row r="222" ht="14.25" customHeight="1">
      <c r="A222" s="298" t="s">
        <v>520</v>
      </c>
      <c r="B222" s="297" t="str">
        <f t="shared" ref="B222:H222" si="42">B43</f>
        <v>149,729</v>
      </c>
      <c r="C222" s="297" t="str">
        <f t="shared" si="42"/>
        <v>149,729</v>
      </c>
      <c r="D222" s="297" t="str">
        <f t="shared" si="42"/>
        <v>149,729</v>
      </c>
      <c r="E222" s="297" t="str">
        <f t="shared" si="42"/>
        <v>149,729</v>
      </c>
      <c r="F222" s="297" t="str">
        <f t="shared" si="42"/>
        <v>149,729</v>
      </c>
      <c r="G222" s="297" t="str">
        <f t="shared" si="42"/>
        <v>0</v>
      </c>
      <c r="H222" s="297" t="str">
        <f t="shared" si="42"/>
        <v>0</v>
      </c>
    </row>
    <row r="223" ht="14.25" customHeight="1">
      <c r="A223" s="73"/>
      <c r="B223" s="297"/>
      <c r="C223" s="297"/>
      <c r="D223" s="297"/>
      <c r="E223" s="297"/>
      <c r="F223" s="297"/>
      <c r="G223" s="297"/>
      <c r="H223" s="297"/>
    </row>
    <row r="224" ht="14.25" customHeight="1">
      <c r="A224" s="73" t="s">
        <v>500</v>
      </c>
      <c r="B224" s="297" t="str">
        <f t="shared" ref="B224:H224" si="43">SUM(B219:B222)</f>
        <v>3,709,273</v>
      </c>
      <c r="C224" s="297" t="str">
        <f t="shared" si="43"/>
        <v>4,549,306</v>
      </c>
      <c r="D224" s="297" t="str">
        <f t="shared" si="43"/>
        <v>5,517,017</v>
      </c>
      <c r="E224" s="297" t="str">
        <f t="shared" si="43"/>
        <v>6,593,300</v>
      </c>
      <c r="F224" s="297" t="str">
        <f t="shared" si="43"/>
        <v>7,784,875</v>
      </c>
      <c r="G224" s="297" t="str">
        <f t="shared" si="43"/>
        <v>8,937,546</v>
      </c>
      <c r="H224" s="297" t="str">
        <f t="shared" si="43"/>
        <v>10,248,161</v>
      </c>
    </row>
    <row r="225" ht="14.25" customHeight="1">
      <c r="A225" s="73"/>
      <c r="B225" s="73"/>
      <c r="C225" s="73"/>
      <c r="D225" s="73"/>
      <c r="E225" s="73"/>
      <c r="F225" s="73"/>
      <c r="G225" s="73"/>
      <c r="H225" s="73"/>
    </row>
    <row r="226" ht="14.25" customHeight="1">
      <c r="A226" s="299" t="s">
        <v>521</v>
      </c>
      <c r="B226" s="293" t="str">
        <f>1/1.1</f>
        <v>0.91</v>
      </c>
      <c r="C226" s="293" t="str">
        <f t="shared" ref="C226:H226" si="44">B226/1.1</f>
        <v>0.83</v>
      </c>
      <c r="D226" s="293" t="str">
        <f t="shared" si="44"/>
        <v>0.75</v>
      </c>
      <c r="E226" s="293" t="str">
        <f t="shared" si="44"/>
        <v>0.68</v>
      </c>
      <c r="F226" s="293" t="str">
        <f t="shared" si="44"/>
        <v>0.62</v>
      </c>
      <c r="G226" s="293" t="str">
        <f t="shared" si="44"/>
        <v>0.56</v>
      </c>
      <c r="H226" s="293" t="str">
        <f t="shared" si="44"/>
        <v>0.51</v>
      </c>
    </row>
    <row r="227" ht="14.25" customHeight="1">
      <c r="A227" s="73"/>
      <c r="B227" s="73"/>
      <c r="C227" s="73"/>
      <c r="D227" s="73"/>
      <c r="E227" s="73"/>
      <c r="F227" s="73"/>
      <c r="G227" s="73"/>
      <c r="H227" s="73"/>
    </row>
    <row r="228" ht="14.25" customHeight="1">
      <c r="A228" s="299" t="s">
        <v>522</v>
      </c>
      <c r="B228" s="116" t="str">
        <f t="shared" ref="B228:H228" si="45">B224*B226</f>
        <v>  3,372,066 </v>
      </c>
      <c r="C228" s="116" t="str">
        <f t="shared" si="45"/>
        <v>  3,759,757 </v>
      </c>
      <c r="D228" s="116" t="str">
        <f t="shared" si="45"/>
        <v>  4,145,016 </v>
      </c>
      <c r="E228" s="116" t="str">
        <f t="shared" si="45"/>
        <v>  4,503,312 </v>
      </c>
      <c r="F228" s="116" t="str">
        <f t="shared" si="45"/>
        <v>  4,833,795 </v>
      </c>
      <c r="G228" s="116" t="str">
        <f t="shared" si="45"/>
        <v>  5,045,012 </v>
      </c>
      <c r="H228" s="116" t="str">
        <f t="shared" si="45"/>
        <v>  5,258,927 </v>
      </c>
    </row>
    <row r="229" ht="14.25" customHeight="1">
      <c r="A229" s="111"/>
      <c r="B229" s="187"/>
      <c r="C229" s="187"/>
      <c r="D229" s="187"/>
      <c r="E229" s="187"/>
      <c r="F229" s="187"/>
      <c r="G229" s="187"/>
      <c r="H229" s="187"/>
    </row>
    <row r="230" ht="14.25" customHeight="1">
      <c r="A230" s="300" t="s">
        <v>523</v>
      </c>
      <c r="B230" s="187" t="str">
        <f>SUM(B228:H228)</f>
        <v>  30,917,885 </v>
      </c>
      <c r="C230" s="187"/>
      <c r="D230" s="187"/>
      <c r="E230" s="187"/>
      <c r="F230" s="187"/>
      <c r="G230" s="187"/>
      <c r="H230" s="187"/>
    </row>
    <row r="231" ht="14.25" customHeight="1">
      <c r="A231" s="111"/>
      <c r="B231" s="187"/>
      <c r="C231" s="187"/>
      <c r="D231" s="187"/>
      <c r="E231" s="187"/>
      <c r="F231" s="187"/>
      <c r="G231" s="187"/>
      <c r="H231" s="187"/>
    </row>
    <row r="232" ht="14.25" customHeight="1">
      <c r="A232" s="300" t="s">
        <v>524</v>
      </c>
      <c r="B232" s="187" t="str">
        <f>-B176</f>
        <v>  17,550,698 </v>
      </c>
      <c r="C232" s="187"/>
      <c r="D232" s="187"/>
      <c r="E232" s="187"/>
      <c r="F232" s="187"/>
      <c r="G232" s="187"/>
      <c r="H232" s="187"/>
    </row>
    <row r="233" ht="14.25" customHeight="1">
      <c r="A233" s="111"/>
      <c r="B233" s="301"/>
      <c r="C233" s="111"/>
      <c r="D233" s="111"/>
      <c r="E233" s="111"/>
      <c r="F233" s="111"/>
      <c r="G233" s="111"/>
      <c r="H233" s="111"/>
    </row>
    <row r="234" ht="14.25" customHeight="1">
      <c r="A234" s="300" t="s">
        <v>525</v>
      </c>
      <c r="B234" s="301" t="str">
        <f>B230-B232</f>
        <v>  13,367,187.40 </v>
      </c>
      <c r="C234" s="111"/>
      <c r="D234" s="111"/>
      <c r="E234" s="111"/>
      <c r="F234" s="111"/>
      <c r="G234" s="111"/>
      <c r="H234" s="111"/>
    </row>
    <row r="235" ht="14.25" customHeight="1"/>
    <row r="236" ht="14.25" customHeight="1">
      <c r="A236" s="215" t="s">
        <v>526</v>
      </c>
    </row>
    <row r="237" ht="14.25" customHeight="1">
      <c r="A237" s="25" t="s">
        <v>527</v>
      </c>
    </row>
    <row r="238" ht="14.25" customHeight="1">
      <c r="A238" s="111"/>
      <c r="B238" s="111"/>
      <c r="C238" s="111"/>
      <c r="D238" s="111"/>
      <c r="E238" s="111"/>
      <c r="F238" s="111"/>
      <c r="G238" s="111"/>
      <c r="H238" s="111"/>
    </row>
    <row r="239" ht="14.25" customHeight="1">
      <c r="A239" s="302" t="s">
        <v>190</v>
      </c>
      <c r="B239" s="302" t="s">
        <v>193</v>
      </c>
      <c r="C239" s="302" t="s">
        <v>194</v>
      </c>
      <c r="D239" s="302" t="s">
        <v>195</v>
      </c>
      <c r="E239" s="302" t="s">
        <v>196</v>
      </c>
      <c r="F239" s="302" t="s">
        <v>197</v>
      </c>
      <c r="G239" s="302" t="s">
        <v>198</v>
      </c>
      <c r="H239" s="302" t="s">
        <v>199</v>
      </c>
    </row>
    <row r="240" ht="14.25" customHeight="1">
      <c r="A240" s="303"/>
      <c r="B240" s="304"/>
      <c r="C240" s="304"/>
      <c r="D240" s="304"/>
      <c r="E240" s="304"/>
      <c r="F240" s="304"/>
      <c r="G240" s="304"/>
      <c r="H240" s="304"/>
    </row>
    <row r="241" ht="14.25" customHeight="1">
      <c r="A241" s="117" t="s">
        <v>528</v>
      </c>
      <c r="B241" s="116" t="str">
        <f t="shared" ref="B241:H241" si="46">B51</f>
        <v>  2,355,808 </v>
      </c>
      <c r="C241" s="116" t="str">
        <f t="shared" si="46"/>
        <v>  3,195,841 </v>
      </c>
      <c r="D241" s="116" t="str">
        <f t="shared" si="46"/>
        <v>  4,163,552 </v>
      </c>
      <c r="E241" s="116" t="str">
        <f t="shared" si="46"/>
        <v>  5,239,835 </v>
      </c>
      <c r="F241" s="116" t="str">
        <f t="shared" si="46"/>
        <v>  6,431,410 </v>
      </c>
      <c r="G241" s="116" t="str">
        <f t="shared" si="46"/>
        <v>  7,733,811 </v>
      </c>
      <c r="H241" s="116" t="str">
        <f t="shared" si="46"/>
        <v>  9,044,425 </v>
      </c>
    </row>
    <row r="242" ht="14.25" customHeight="1">
      <c r="A242" s="73"/>
      <c r="B242" s="73"/>
      <c r="C242" s="73"/>
      <c r="D242" s="73"/>
      <c r="E242" s="73"/>
      <c r="F242" s="73"/>
      <c r="G242" s="73"/>
      <c r="H242" s="73"/>
    </row>
    <row r="243" ht="14.25" customHeight="1">
      <c r="A243" s="117" t="s">
        <v>529</v>
      </c>
      <c r="B243" s="305" t="str">
        <f>AVERAGE(B241:H241)</f>
        <v>5452097.25</v>
      </c>
      <c r="C243" s="5"/>
      <c r="D243" s="5"/>
      <c r="E243" s="5"/>
      <c r="F243" s="5"/>
      <c r="G243" s="5"/>
      <c r="H243" s="6"/>
    </row>
    <row r="244" ht="14.25" customHeight="1">
      <c r="A244" s="117" t="s">
        <v>530</v>
      </c>
      <c r="B244" s="305" t="str">
        <f>B232</f>
        <v>17550697.63</v>
      </c>
      <c r="C244" s="5"/>
      <c r="D244" s="5"/>
      <c r="E244" s="5"/>
      <c r="F244" s="5"/>
      <c r="G244" s="5"/>
      <c r="H244" s="6"/>
    </row>
    <row r="245" ht="14.25" customHeight="1">
      <c r="A245" s="73"/>
      <c r="B245" s="73"/>
      <c r="C245" s="73"/>
      <c r="D245" s="73"/>
      <c r="E245" s="73"/>
      <c r="F245" s="73"/>
      <c r="G245" s="73"/>
      <c r="H245" s="73"/>
    </row>
    <row r="246" ht="14.25" customHeight="1">
      <c r="A246" s="306" t="s">
        <v>531</v>
      </c>
      <c r="B246" s="307" t="str">
        <f>B243/B244</f>
        <v>31.06%</v>
      </c>
      <c r="C246" s="5"/>
      <c r="D246" s="5"/>
      <c r="E246" s="5"/>
      <c r="F246" s="5"/>
      <c r="G246" s="5"/>
      <c r="H246" s="6"/>
    </row>
    <row r="247" ht="14.25" customHeight="1"/>
    <row r="248" ht="14.25" customHeight="1"/>
    <row r="249" ht="14.25" customHeight="1">
      <c r="A249" s="308" t="s">
        <v>532</v>
      </c>
    </row>
    <row r="250" ht="14.25" customHeight="1"/>
    <row r="251" ht="14.25" customHeight="1">
      <c r="A251" s="25" t="s">
        <v>533</v>
      </c>
    </row>
    <row r="252" ht="14.25" customHeight="1"/>
    <row r="253" ht="14.25" customHeight="1">
      <c r="A253" s="292" t="s">
        <v>190</v>
      </c>
      <c r="B253" s="292" t="s">
        <v>496</v>
      </c>
      <c r="C253" s="292" t="s">
        <v>193</v>
      </c>
      <c r="D253" s="292" t="s">
        <v>194</v>
      </c>
      <c r="E253" s="292" t="s">
        <v>195</v>
      </c>
      <c r="F253" s="292" t="s">
        <v>196</v>
      </c>
      <c r="G253" s="292" t="s">
        <v>197</v>
      </c>
      <c r="H253" s="292" t="s">
        <v>198</v>
      </c>
      <c r="I253" s="292" t="s">
        <v>199</v>
      </c>
    </row>
    <row r="254" ht="14.25" customHeight="1">
      <c r="A254" s="309"/>
      <c r="B254" s="309"/>
      <c r="C254" s="310"/>
      <c r="D254" s="310"/>
      <c r="E254" s="310"/>
      <c r="F254" s="310"/>
      <c r="G254" s="310"/>
      <c r="H254" s="310"/>
      <c r="I254" s="310"/>
    </row>
    <row r="255" ht="14.25" customHeight="1">
      <c r="A255" s="85" t="s">
        <v>534</v>
      </c>
      <c r="B255" s="311" t="str">
        <f>B244</f>
        <v>  17,550,698 </v>
      </c>
      <c r="C255" s="310"/>
      <c r="D255" s="310"/>
      <c r="E255" s="310"/>
      <c r="F255" s="310"/>
      <c r="G255" s="310"/>
      <c r="H255" s="310"/>
      <c r="I255" s="310"/>
    </row>
    <row r="256" ht="14.25" customHeight="1">
      <c r="A256" s="85" t="str">
        <f>A219</f>
        <v>Profit after Tax &amp; Dividend</v>
      </c>
      <c r="B256" s="85"/>
      <c r="C256" s="168" t="str">
        <f t="shared" ref="C256:I256" si="47">B51</f>
        <v>  2,355,808 </v>
      </c>
      <c r="D256" s="168" t="str">
        <f t="shared" si="47"/>
        <v>  3,195,841 </v>
      </c>
      <c r="E256" s="168" t="str">
        <f t="shared" si="47"/>
        <v>  4,163,552 </v>
      </c>
      <c r="F256" s="168" t="str">
        <f t="shared" si="47"/>
        <v>  5,239,835 </v>
      </c>
      <c r="G256" s="168" t="str">
        <f t="shared" si="47"/>
        <v>  6,431,410 </v>
      </c>
      <c r="H256" s="168" t="str">
        <f t="shared" si="47"/>
        <v>  7,733,811 </v>
      </c>
      <c r="I256" s="168" t="str">
        <f t="shared" si="47"/>
        <v>  9,044,425 </v>
      </c>
    </row>
    <row r="257" ht="14.25" customHeight="1">
      <c r="A257" s="85" t="str">
        <f t="shared" ref="A257:A258" si="49">A221</f>
        <v>Add: Deprication</v>
      </c>
      <c r="B257" s="85"/>
      <c r="C257" s="168" t="str">
        <f t="shared" ref="C257:I257" si="48">B42</f>
        <v>  1,203,736 </v>
      </c>
      <c r="D257" s="168" t="str">
        <f t="shared" si="48"/>
        <v>  1,203,736 </v>
      </c>
      <c r="E257" s="168" t="str">
        <f t="shared" si="48"/>
        <v>  1,203,736 </v>
      </c>
      <c r="F257" s="168" t="str">
        <f t="shared" si="48"/>
        <v>  1,203,736 </v>
      </c>
      <c r="G257" s="168" t="str">
        <f t="shared" si="48"/>
        <v>  1,203,736 </v>
      </c>
      <c r="H257" s="168" t="str">
        <f t="shared" si="48"/>
        <v>  1,203,736 </v>
      </c>
      <c r="I257" s="168" t="str">
        <f t="shared" si="48"/>
        <v>  1,203,736 </v>
      </c>
    </row>
    <row r="258" ht="14.25" customHeight="1">
      <c r="A258" s="85" t="str">
        <f t="shared" si="49"/>
        <v>Add. Preliminary exp Written off</v>
      </c>
      <c r="B258" s="85"/>
      <c r="C258" s="168" t="str">
        <f t="shared" ref="C258:I258" si="50">B43</f>
        <v>  149,729 </v>
      </c>
      <c r="D258" s="168" t="str">
        <f t="shared" si="50"/>
        <v>  149,729 </v>
      </c>
      <c r="E258" s="168" t="str">
        <f t="shared" si="50"/>
        <v>  149,729 </v>
      </c>
      <c r="F258" s="168" t="str">
        <f t="shared" si="50"/>
        <v>  149,729 </v>
      </c>
      <c r="G258" s="168" t="str">
        <f t="shared" si="50"/>
        <v>  149,729 </v>
      </c>
      <c r="H258" s="168" t="str">
        <f t="shared" si="50"/>
        <v>  -   </v>
      </c>
      <c r="I258" s="168" t="str">
        <f t="shared" si="50"/>
        <v>  -   </v>
      </c>
    </row>
    <row r="259" ht="14.25" customHeight="1">
      <c r="A259" s="85" t="str">
        <f>A224</f>
        <v>Net Cash Accrual (A)      </v>
      </c>
      <c r="B259" s="85"/>
      <c r="C259" s="168" t="str">
        <f t="shared" ref="C259:I259" si="51">SUM(C256:C258)</f>
        <v>  3,709,273 </v>
      </c>
      <c r="D259" s="168" t="str">
        <f t="shared" si="51"/>
        <v>  4,549,306 </v>
      </c>
      <c r="E259" s="168" t="str">
        <f t="shared" si="51"/>
        <v>  5,517,017 </v>
      </c>
      <c r="F259" s="168" t="str">
        <f t="shared" si="51"/>
        <v>  6,593,300 </v>
      </c>
      <c r="G259" s="168" t="str">
        <f t="shared" si="51"/>
        <v>  7,784,875 </v>
      </c>
      <c r="H259" s="168" t="str">
        <f t="shared" si="51"/>
        <v>  8,937,546 </v>
      </c>
      <c r="I259" s="168" t="str">
        <f t="shared" si="51"/>
        <v>  10,248,161 </v>
      </c>
    </row>
    <row r="260" ht="14.25" customHeight="1">
      <c r="A260" s="85" t="s">
        <v>535</v>
      </c>
      <c r="B260" s="312"/>
      <c r="C260" s="313" t="str">
        <f>C259-B255</f>
        <v>  (13,841,425)</v>
      </c>
      <c r="D260" s="313" t="str">
        <f t="shared" ref="D260:I260" si="52">C260+D259</f>
        <v>  (9,292,119)</v>
      </c>
      <c r="E260" s="313" t="str">
        <f t="shared" si="52"/>
        <v>  (3,775,103)</v>
      </c>
      <c r="F260" s="313" t="str">
        <f t="shared" si="52"/>
        <v>  2,818,197 </v>
      </c>
      <c r="G260" s="313" t="str">
        <f t="shared" si="52"/>
        <v>  10,603,071 </v>
      </c>
      <c r="H260" s="313" t="str">
        <f t="shared" si="52"/>
        <v>  19,540,618 </v>
      </c>
      <c r="I260" s="313" t="str">
        <f t="shared" si="52"/>
        <v>  29,788,779 </v>
      </c>
    </row>
    <row r="261" ht="14.25" customHeight="1"/>
    <row r="262" ht="14.25" customHeight="1">
      <c r="A262" s="119" t="s">
        <v>536</v>
      </c>
      <c r="C262" s="314" t="str">
        <f>4+(-F260/G259)</f>
        <v>3.64</v>
      </c>
    </row>
    <row r="263" ht="14.25" customHeight="1"/>
    <row r="264" ht="14.25" customHeight="1">
      <c r="A264" s="308" t="s">
        <v>537</v>
      </c>
    </row>
    <row r="265" ht="14.25" customHeight="1"/>
    <row r="266" ht="14.25" customHeight="1">
      <c r="A266" s="25" t="s">
        <v>538</v>
      </c>
    </row>
    <row r="267" ht="14.25" customHeight="1"/>
    <row r="268" ht="14.25" customHeight="1">
      <c r="A268" s="302" t="s">
        <v>190</v>
      </c>
      <c r="B268" s="302" t="s">
        <v>193</v>
      </c>
      <c r="C268" s="302" t="s">
        <v>194</v>
      </c>
      <c r="D268" s="302" t="s">
        <v>195</v>
      </c>
      <c r="E268" s="302" t="s">
        <v>196</v>
      </c>
      <c r="F268" s="302" t="s">
        <v>197</v>
      </c>
      <c r="G268" s="302" t="s">
        <v>198</v>
      </c>
      <c r="H268" s="302" t="s">
        <v>199</v>
      </c>
    </row>
    <row r="269" ht="14.25" customHeight="1">
      <c r="A269" s="303"/>
      <c r="B269" s="304"/>
      <c r="C269" s="304"/>
      <c r="D269" s="304"/>
      <c r="E269" s="304"/>
      <c r="F269" s="304"/>
      <c r="G269" s="304"/>
      <c r="H269" s="304"/>
    </row>
    <row r="270" ht="14.25" customHeight="1">
      <c r="A270" s="73" t="s">
        <v>539</v>
      </c>
      <c r="B270" s="116" t="str">
        <f t="shared" ref="B270:H270" si="53">B40</f>
        <v>  5,488,853 </v>
      </c>
      <c r="C270" s="116" t="str">
        <f t="shared" si="53"/>
        <v>  6,648,065 </v>
      </c>
      <c r="D270" s="116" t="str">
        <f t="shared" si="53"/>
        <v>  7,893,139 </v>
      </c>
      <c r="E270" s="116" t="str">
        <f t="shared" si="53"/>
        <v>  9,246,101 </v>
      </c>
      <c r="F270" s="116" t="str">
        <f t="shared" si="53"/>
        <v>  10,714,625 </v>
      </c>
      <c r="G270" s="116" t="str">
        <f t="shared" si="53"/>
        <v>  12,140,102 </v>
      </c>
      <c r="H270" s="116" t="str">
        <f t="shared" si="53"/>
        <v>  13,681,341 </v>
      </c>
    </row>
    <row r="271" ht="14.25" customHeight="1">
      <c r="A271" s="73" t="s">
        <v>782</v>
      </c>
      <c r="B271" s="116" t="str">
        <f t="shared" ref="B271:H271" si="54">B42</f>
        <v>  1,203,736 </v>
      </c>
      <c r="C271" s="116" t="str">
        <f t="shared" si="54"/>
        <v>  1,203,736 </v>
      </c>
      <c r="D271" s="116" t="str">
        <f t="shared" si="54"/>
        <v>  1,203,736 </v>
      </c>
      <c r="E271" s="116" t="str">
        <f t="shared" si="54"/>
        <v>  1,203,736 </v>
      </c>
      <c r="F271" s="116" t="str">
        <f t="shared" si="54"/>
        <v>  1,203,736 </v>
      </c>
      <c r="G271" s="116" t="str">
        <f t="shared" si="54"/>
        <v>  1,203,736 </v>
      </c>
      <c r="H271" s="116" t="str">
        <f t="shared" si="54"/>
        <v>  1,203,736 </v>
      </c>
    </row>
    <row r="272" ht="14.25" customHeight="1">
      <c r="A272" s="73" t="s">
        <v>783</v>
      </c>
      <c r="B272" s="116" t="str">
        <f t="shared" ref="B272:H272" si="55">B43</f>
        <v>  149,729 </v>
      </c>
      <c r="C272" s="116" t="str">
        <f t="shared" si="55"/>
        <v>  149,729 </v>
      </c>
      <c r="D272" s="116" t="str">
        <f t="shared" si="55"/>
        <v>  149,729 </v>
      </c>
      <c r="E272" s="116" t="str">
        <f t="shared" si="55"/>
        <v>  149,729 </v>
      </c>
      <c r="F272" s="116" t="str">
        <f t="shared" si="55"/>
        <v>  149,729 </v>
      </c>
      <c r="G272" s="116" t="str">
        <f t="shared" si="55"/>
        <v>  -   </v>
      </c>
      <c r="H272" s="116" t="str">
        <f t="shared" si="55"/>
        <v>  -   </v>
      </c>
    </row>
    <row r="273" ht="14.25" customHeight="1">
      <c r="A273" s="73" t="s">
        <v>784</v>
      </c>
      <c r="B273" s="116" t="str">
        <f>SUM(D76:D87)</f>
        <v>  1,679,008 </v>
      </c>
      <c r="C273" s="116" t="str">
        <f>SUM(D88:D99)</f>
        <v>  1,520,962 </v>
      </c>
      <c r="D273" s="116" t="str">
        <f>SUM(D100:D111)</f>
        <v>  1,315,082 </v>
      </c>
      <c r="E273" s="116" t="str">
        <f>SUM(D112:D123)</f>
        <v>  1,083,092 </v>
      </c>
      <c r="F273" s="116" t="str">
        <f>SUM(D124:D135)</f>
        <v>  821,679 </v>
      </c>
      <c r="G273" s="116" t="str">
        <f>SUM(D136:D147)</f>
        <v>  527,113 </v>
      </c>
      <c r="H273" s="116" t="str">
        <f>SUM(D148:D159)</f>
        <v>  195,188 </v>
      </c>
    </row>
    <row r="274" ht="14.25" customHeight="1">
      <c r="A274" s="117" t="s">
        <v>88</v>
      </c>
      <c r="B274" s="118" t="str">
        <f t="shared" ref="B274:H274" si="56">SUM(B270:B273)</f>
        <v>  8,521,326 </v>
      </c>
      <c r="C274" s="118" t="str">
        <f t="shared" si="56"/>
        <v>  9,522,492 </v>
      </c>
      <c r="D274" s="118" t="str">
        <f t="shared" si="56"/>
        <v>  10,561,686 </v>
      </c>
      <c r="E274" s="118" t="str">
        <f t="shared" si="56"/>
        <v>  11,682,657 </v>
      </c>
      <c r="F274" s="118" t="str">
        <f t="shared" si="56"/>
        <v>  12,889,769 </v>
      </c>
      <c r="G274" s="118" t="str">
        <f t="shared" si="56"/>
        <v>  13,870,951 </v>
      </c>
      <c r="H274" s="118" t="str">
        <f t="shared" si="56"/>
        <v>  15,080,265 </v>
      </c>
    </row>
    <row r="275" ht="14.25" customHeight="1">
      <c r="A275" s="73"/>
      <c r="B275" s="73"/>
      <c r="C275" s="73"/>
      <c r="D275" s="73"/>
      <c r="E275" s="73"/>
      <c r="F275" s="73"/>
      <c r="G275" s="73"/>
      <c r="H275" s="73"/>
    </row>
    <row r="276" ht="14.25" customHeight="1">
      <c r="A276" s="73" t="s">
        <v>540</v>
      </c>
      <c r="B276" s="118" t="str">
        <f>SUM(F76:F87)</f>
        <v>  2,420,818 </v>
      </c>
      <c r="C276" s="118" t="str">
        <f>SUM(F88:F99)</f>
        <v>  3,144,298 </v>
      </c>
      <c r="D276" s="118" t="str">
        <f>SUM(F100:F111)</f>
        <v>  3,144,298 </v>
      </c>
      <c r="E276" s="118" t="str">
        <f>SUM(F112:F123)</f>
        <v>  3,144,298 </v>
      </c>
      <c r="F276" s="118" t="str">
        <f>SUM(F124:F135)</f>
        <v>  3,144,298 </v>
      </c>
      <c r="G276" s="118" t="str">
        <f>SUM(F136:F147)</f>
        <v>  3,144,298 </v>
      </c>
      <c r="H276" s="118" t="str">
        <f>SUM(F148:F159)</f>
        <v>  3,144,298 </v>
      </c>
    </row>
    <row r="277" ht="14.25" customHeight="1">
      <c r="A277" s="73"/>
      <c r="B277" s="73"/>
      <c r="C277" s="73"/>
      <c r="D277" s="73"/>
      <c r="E277" s="73"/>
      <c r="F277" s="73"/>
      <c r="G277" s="73"/>
      <c r="H277" s="73"/>
    </row>
    <row r="278" ht="14.25" customHeight="1">
      <c r="A278" s="117" t="s">
        <v>541</v>
      </c>
      <c r="B278" s="315" t="str">
        <f t="shared" ref="B278:H278" si="57">B274/B276</f>
        <v>3.52</v>
      </c>
      <c r="C278" s="315" t="str">
        <f t="shared" si="57"/>
        <v>3.03</v>
      </c>
      <c r="D278" s="315" t="str">
        <f t="shared" si="57"/>
        <v>3.36</v>
      </c>
      <c r="E278" s="315" t="str">
        <f t="shared" si="57"/>
        <v>3.72</v>
      </c>
      <c r="F278" s="315" t="str">
        <f t="shared" si="57"/>
        <v>4.10</v>
      </c>
      <c r="G278" s="315" t="str">
        <f t="shared" si="57"/>
        <v>4.41</v>
      </c>
      <c r="H278" s="315" t="str">
        <f t="shared" si="57"/>
        <v>4.80</v>
      </c>
    </row>
    <row r="279" ht="14.25" customHeight="1">
      <c r="A279" s="111"/>
      <c r="B279" s="111"/>
      <c r="C279" s="111"/>
      <c r="D279" s="111"/>
      <c r="E279" s="111"/>
      <c r="F279" s="111"/>
      <c r="G279" s="111"/>
      <c r="H279" s="111"/>
    </row>
    <row r="280" ht="14.25" customHeight="1">
      <c r="A280" s="294" t="s">
        <v>542</v>
      </c>
      <c r="B280" s="396" t="str">
        <f>AVERAGE(B278:H278)</f>
        <v>3.85</v>
      </c>
      <c r="C280" s="111"/>
      <c r="D280" s="111"/>
      <c r="E280" s="111"/>
      <c r="F280" s="111"/>
      <c r="G280" s="111"/>
      <c r="H280" s="111"/>
    </row>
    <row r="281" ht="14.25" customHeight="1"/>
    <row r="282" ht="14.25" customHeight="1">
      <c r="A282" s="215" t="s">
        <v>543</v>
      </c>
    </row>
  </sheetData>
  <mergeCells count="21">
    <mergeCell ref="C183:I183"/>
    <mergeCell ref="A185:I185"/>
    <mergeCell ref="A2:H2"/>
    <mergeCell ref="A54:H54"/>
    <mergeCell ref="A66:H66"/>
    <mergeCell ref="A68:G68"/>
    <mergeCell ref="A166:I166"/>
    <mergeCell ref="C181:I181"/>
    <mergeCell ref="A187:H187"/>
    <mergeCell ref="B243:H243"/>
    <mergeCell ref="B244:H244"/>
    <mergeCell ref="B246:H246"/>
    <mergeCell ref="A249:H249"/>
    <mergeCell ref="A236:I236"/>
    <mergeCell ref="A212:I212"/>
    <mergeCell ref="A215:H215"/>
    <mergeCell ref="A264:I264"/>
    <mergeCell ref="A266:H266"/>
    <mergeCell ref="A282:I282"/>
    <mergeCell ref="A237:H237"/>
    <mergeCell ref="A251:I251"/>
  </mergeCells>
  <hyperlinks>
    <hyperlink r:id="rId1" ref="A185"/>
  </hyperlinks>
  <printOptions/>
  <pageMargins bottom="0.75" footer="0.0" header="0.0" left="0.7" right="0.7" top="0.75"/>
  <pageSetup orientation="landscape"/>
  <drawing r:id="rId2"/>
</worksheet>
</file>

<file path=xl/worksheets/sheet2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33.14"/>
    <col customWidth="1" min="3" max="3" width="12.29"/>
    <col customWidth="1" min="4" max="4" width="13.71"/>
    <col customWidth="1" min="5" max="9" width="11.71"/>
    <col customWidth="1" min="10" max="10" width="8.71"/>
    <col customWidth="1" hidden="1" min="11" max="11" width="30.86"/>
    <col customWidth="1" hidden="1" min="12" max="18" width="11.57"/>
    <col customWidth="1" min="19" max="24" width="8.71"/>
  </cols>
  <sheetData>
    <row r="1" ht="14.25" customHeight="1"/>
    <row r="2" ht="14.25" customHeight="1">
      <c r="B2" t="s">
        <v>133</v>
      </c>
      <c r="D2" t="s">
        <v>785</v>
      </c>
      <c r="K2" t="s">
        <v>133</v>
      </c>
      <c r="L2">
        <v>0.0</v>
      </c>
      <c r="M2" t="s">
        <v>785</v>
      </c>
    </row>
    <row r="3" ht="14.25" customHeight="1">
      <c r="B3" t="s">
        <v>786</v>
      </c>
      <c r="K3" t="s">
        <v>786</v>
      </c>
      <c r="L3">
        <v>8.0</v>
      </c>
      <c r="V3">
        <v>300.0</v>
      </c>
      <c r="W3">
        <v>25.0</v>
      </c>
    </row>
    <row r="4" ht="14.25" customHeight="1">
      <c r="B4" t="s">
        <v>787</v>
      </c>
      <c r="C4">
        <v>250.0</v>
      </c>
      <c r="K4" t="s">
        <v>787</v>
      </c>
      <c r="L4">
        <v>240.0</v>
      </c>
      <c r="V4">
        <v>1000.0</v>
      </c>
      <c r="W4">
        <v>760.0</v>
      </c>
      <c r="X4" t="str">
        <f>V4-W4</f>
        <v>240</v>
      </c>
    </row>
    <row r="5" ht="14.25" customHeight="1">
      <c r="V5" t="str">
        <f>V4*2</f>
        <v>2000</v>
      </c>
    </row>
    <row r="6" ht="14.25" customHeight="1">
      <c r="V6" t="str">
        <f>V5*1</f>
        <v>2000</v>
      </c>
    </row>
    <row r="7" ht="14.25" customHeight="1">
      <c r="B7" s="397" t="s">
        <v>190</v>
      </c>
      <c r="C7" s="398" t="s">
        <v>193</v>
      </c>
      <c r="D7" s="398" t="s">
        <v>194</v>
      </c>
      <c r="E7" s="398" t="s">
        <v>195</v>
      </c>
      <c r="F7" s="398" t="s">
        <v>196</v>
      </c>
      <c r="G7" s="398" t="s">
        <v>197</v>
      </c>
      <c r="H7" s="398" t="s">
        <v>197</v>
      </c>
      <c r="I7" s="398" t="s">
        <v>197</v>
      </c>
      <c r="K7" s="399" t="s">
        <v>190</v>
      </c>
      <c r="L7" s="400" t="s">
        <v>193</v>
      </c>
      <c r="M7" s="400" t="s">
        <v>194</v>
      </c>
      <c r="N7" s="400" t="s">
        <v>195</v>
      </c>
      <c r="O7" s="400" t="s">
        <v>196</v>
      </c>
      <c r="P7" s="400" t="s">
        <v>197</v>
      </c>
      <c r="Q7" s="400" t="s">
        <v>197</v>
      </c>
      <c r="R7" s="400" t="s">
        <v>197</v>
      </c>
    </row>
    <row r="8" ht="14.25" customHeight="1">
      <c r="B8" s="332" t="s">
        <v>788</v>
      </c>
      <c r="C8" s="401">
        <v>0.6</v>
      </c>
      <c r="D8" s="401" t="str">
        <f t="shared" ref="D8:I8" si="1">C8+0.05</f>
        <v>65%</v>
      </c>
      <c r="E8" s="401" t="str">
        <f t="shared" si="1"/>
        <v>70%</v>
      </c>
      <c r="F8" s="401" t="str">
        <f t="shared" si="1"/>
        <v>75%</v>
      </c>
      <c r="G8" s="401" t="str">
        <f t="shared" si="1"/>
        <v>80%</v>
      </c>
      <c r="H8" s="401" t="str">
        <f t="shared" si="1"/>
        <v>85%</v>
      </c>
      <c r="I8" s="401" t="str">
        <f t="shared" si="1"/>
        <v>90%</v>
      </c>
      <c r="K8" s="85" t="s">
        <v>788</v>
      </c>
      <c r="L8" s="359">
        <v>0.5</v>
      </c>
      <c r="M8" s="359">
        <v>0.55</v>
      </c>
      <c r="N8" s="359">
        <v>0.6000000000000001</v>
      </c>
      <c r="O8" s="359">
        <v>0.6500000000000001</v>
      </c>
      <c r="P8" s="359">
        <v>0.7000000000000002</v>
      </c>
      <c r="Q8" s="359">
        <v>0.7500000000000002</v>
      </c>
      <c r="R8" s="359">
        <v>0.8000000000000003</v>
      </c>
    </row>
    <row r="9" ht="14.25" customHeight="1">
      <c r="B9" s="85" t="s">
        <v>789</v>
      </c>
      <c r="C9" s="85" t="str">
        <f t="shared" ref="C9:I9" si="2">C8*$C$4</f>
        <v>150</v>
      </c>
      <c r="D9" s="85" t="str">
        <f t="shared" si="2"/>
        <v>162.5</v>
      </c>
      <c r="E9" s="85" t="str">
        <f t="shared" si="2"/>
        <v>175</v>
      </c>
      <c r="F9" s="85" t="str">
        <f t="shared" si="2"/>
        <v>187.5</v>
      </c>
      <c r="G9" s="85" t="str">
        <f t="shared" si="2"/>
        <v>200</v>
      </c>
      <c r="H9" s="85" t="str">
        <f t="shared" si="2"/>
        <v>212.5</v>
      </c>
      <c r="I9" s="85" t="str">
        <f t="shared" si="2"/>
        <v>225</v>
      </c>
      <c r="K9" s="85" t="s">
        <v>789</v>
      </c>
      <c r="L9" s="85" t="str">
        <f t="shared" ref="L9:R9" si="3">$L$4*L8</f>
        <v>120</v>
      </c>
      <c r="M9" s="85" t="str">
        <f t="shared" si="3"/>
        <v>132</v>
      </c>
      <c r="N9" s="85" t="str">
        <f t="shared" si="3"/>
        <v>144</v>
      </c>
      <c r="O9" s="85" t="str">
        <f t="shared" si="3"/>
        <v>156</v>
      </c>
      <c r="P9" s="85" t="str">
        <f t="shared" si="3"/>
        <v>168</v>
      </c>
      <c r="Q9" s="85" t="str">
        <f t="shared" si="3"/>
        <v>180</v>
      </c>
      <c r="R9" s="85" t="str">
        <f t="shared" si="3"/>
        <v>192</v>
      </c>
    </row>
    <row r="10" ht="14.25" customHeight="1">
      <c r="B10" s="332" t="s">
        <v>790</v>
      </c>
      <c r="C10" s="313" t="str">
        <f t="shared" ref="C10:I10" si="4">$C$2*C9*$C$3</f>
        <v>  -   </v>
      </c>
      <c r="D10" s="313" t="str">
        <f t="shared" si="4"/>
        <v>  -   </v>
      </c>
      <c r="E10" s="313" t="str">
        <f t="shared" si="4"/>
        <v>  -   </v>
      </c>
      <c r="F10" s="313" t="str">
        <f t="shared" si="4"/>
        <v>  -   </v>
      </c>
      <c r="G10" s="313" t="str">
        <f t="shared" si="4"/>
        <v>  -   </v>
      </c>
      <c r="H10" s="313" t="str">
        <f t="shared" si="4"/>
        <v>  -   </v>
      </c>
      <c r="I10" s="313" t="str">
        <f t="shared" si="4"/>
        <v>  -   </v>
      </c>
      <c r="K10" s="332" t="s">
        <v>791</v>
      </c>
      <c r="L10" s="313" t="str">
        <f t="shared" ref="L10:R10" si="5">$L$2*$L$3*L9</f>
        <v>  -   </v>
      </c>
      <c r="M10" s="313" t="str">
        <f t="shared" si="5"/>
        <v>  -   </v>
      </c>
      <c r="N10" s="313" t="str">
        <f t="shared" si="5"/>
        <v>  -   </v>
      </c>
      <c r="O10" s="313" t="str">
        <f t="shared" si="5"/>
        <v>  -   </v>
      </c>
      <c r="P10" s="313" t="str">
        <f t="shared" si="5"/>
        <v>  -   </v>
      </c>
      <c r="Q10" s="313" t="str">
        <f t="shared" si="5"/>
        <v>  -   </v>
      </c>
      <c r="R10" s="313" t="str">
        <f t="shared" si="5"/>
        <v>  -   </v>
      </c>
    </row>
    <row r="11" ht="14.25" customHeight="1">
      <c r="B11" s="332" t="s">
        <v>792</v>
      </c>
      <c r="C11" s="313" t="str">
        <f t="shared" ref="C11:I11" si="6">C10*40%</f>
        <v>  -   </v>
      </c>
      <c r="D11" s="313" t="str">
        <f t="shared" si="6"/>
        <v>  -   </v>
      </c>
      <c r="E11" s="313" t="str">
        <f t="shared" si="6"/>
        <v>  -   </v>
      </c>
      <c r="F11" s="313" t="str">
        <f t="shared" si="6"/>
        <v>  -   </v>
      </c>
      <c r="G11" s="313" t="str">
        <f t="shared" si="6"/>
        <v>  -   </v>
      </c>
      <c r="H11" s="313" t="str">
        <f t="shared" si="6"/>
        <v>  -   </v>
      </c>
      <c r="I11" s="313" t="str">
        <f t="shared" si="6"/>
        <v>  -   </v>
      </c>
      <c r="K11" s="85" t="s">
        <v>793</v>
      </c>
      <c r="L11" s="359">
        <v>0.02</v>
      </c>
      <c r="M11" s="359" t="str">
        <f t="shared" ref="M11:R11" si="7">L11</f>
        <v>2%</v>
      </c>
      <c r="N11" s="359" t="str">
        <f t="shared" si="7"/>
        <v>2%</v>
      </c>
      <c r="O11" s="359" t="str">
        <f t="shared" si="7"/>
        <v>2%</v>
      </c>
      <c r="P11" s="359" t="str">
        <f t="shared" si="7"/>
        <v>2%</v>
      </c>
      <c r="Q11" s="359" t="str">
        <f t="shared" si="7"/>
        <v>2%</v>
      </c>
      <c r="R11" s="359" t="str">
        <f t="shared" si="7"/>
        <v>2%</v>
      </c>
    </row>
    <row r="12" ht="14.25" customHeight="1">
      <c r="B12" s="332" t="s">
        <v>563</v>
      </c>
      <c r="C12" s="313" t="str">
        <f t="shared" ref="C12:I12" si="8">C10-C11</f>
        <v>  -   </v>
      </c>
      <c r="D12" s="313" t="str">
        <f t="shared" si="8"/>
        <v>  -   </v>
      </c>
      <c r="E12" s="313" t="str">
        <f t="shared" si="8"/>
        <v>  -   </v>
      </c>
      <c r="F12" s="313" t="str">
        <f t="shared" si="8"/>
        <v>  -   </v>
      </c>
      <c r="G12" s="313" t="str">
        <f t="shared" si="8"/>
        <v>  -   </v>
      </c>
      <c r="H12" s="313" t="str">
        <f t="shared" si="8"/>
        <v>  -   </v>
      </c>
      <c r="I12" s="313" t="str">
        <f t="shared" si="8"/>
        <v>  -   </v>
      </c>
      <c r="K12" s="332" t="s">
        <v>794</v>
      </c>
      <c r="L12" s="313" t="str">
        <f t="shared" ref="L12:R12" si="9">L10-(L10*L11)</f>
        <v>  -   </v>
      </c>
      <c r="M12" s="313" t="str">
        <f t="shared" si="9"/>
        <v>  -   </v>
      </c>
      <c r="N12" s="313" t="str">
        <f t="shared" si="9"/>
        <v>  -   </v>
      </c>
      <c r="O12" s="313" t="str">
        <f t="shared" si="9"/>
        <v>  -   </v>
      </c>
      <c r="P12" s="313" t="str">
        <f t="shared" si="9"/>
        <v>  -   </v>
      </c>
      <c r="Q12" s="313" t="str">
        <f t="shared" si="9"/>
        <v>  -   </v>
      </c>
      <c r="R12" s="313" t="str">
        <f t="shared" si="9"/>
        <v>  -   </v>
      </c>
    </row>
    <row r="13" ht="14.25" customHeight="1">
      <c r="B13" s="85" t="s">
        <v>576</v>
      </c>
      <c r="C13" s="168" t="str">
        <f t="shared" ref="C13:I13" si="10">C$12*50%</f>
        <v>  -   </v>
      </c>
      <c r="D13" s="168" t="str">
        <f t="shared" si="10"/>
        <v>  -   </v>
      </c>
      <c r="E13" s="168" t="str">
        <f t="shared" si="10"/>
        <v>  -   </v>
      </c>
      <c r="F13" s="168" t="str">
        <f t="shared" si="10"/>
        <v>  -   </v>
      </c>
      <c r="G13" s="168" t="str">
        <f t="shared" si="10"/>
        <v>  -   </v>
      </c>
      <c r="H13" s="168" t="str">
        <f t="shared" si="10"/>
        <v>  -   </v>
      </c>
      <c r="I13" s="168" t="str">
        <f t="shared" si="10"/>
        <v>  -   </v>
      </c>
      <c r="K13" s="85" t="s">
        <v>795</v>
      </c>
      <c r="L13" s="168" t="str">
        <f t="shared" ref="L13:R13" si="11">L$12*15%</f>
        <v>  -   </v>
      </c>
      <c r="M13" s="168" t="str">
        <f t="shared" si="11"/>
        <v>  -   </v>
      </c>
      <c r="N13" s="168" t="str">
        <f t="shared" si="11"/>
        <v>  -   </v>
      </c>
      <c r="O13" s="168" t="str">
        <f t="shared" si="11"/>
        <v>  -   </v>
      </c>
      <c r="P13" s="168" t="str">
        <f t="shared" si="11"/>
        <v>  -   </v>
      </c>
      <c r="Q13" s="168" t="str">
        <f t="shared" si="11"/>
        <v>  -   </v>
      </c>
      <c r="R13" s="168" t="str">
        <f t="shared" si="11"/>
        <v>  -   </v>
      </c>
    </row>
    <row r="14" ht="14.25" customHeight="1">
      <c r="B14" s="85" t="s">
        <v>380</v>
      </c>
      <c r="C14" s="168" t="str">
        <f t="shared" ref="C14:I14" si="12">C$12*30%</f>
        <v>  -   </v>
      </c>
      <c r="D14" s="168" t="str">
        <f t="shared" si="12"/>
        <v>  -   </v>
      </c>
      <c r="E14" s="168" t="str">
        <f t="shared" si="12"/>
        <v>  -   </v>
      </c>
      <c r="F14" s="168" t="str">
        <f t="shared" si="12"/>
        <v>  -   </v>
      </c>
      <c r="G14" s="168" t="str">
        <f t="shared" si="12"/>
        <v>  -   </v>
      </c>
      <c r="H14" s="168" t="str">
        <f t="shared" si="12"/>
        <v>  -   </v>
      </c>
      <c r="I14" s="168" t="str">
        <f t="shared" si="12"/>
        <v>  -   </v>
      </c>
      <c r="K14" s="85"/>
      <c r="L14" s="168"/>
      <c r="M14" s="168"/>
      <c r="N14" s="168"/>
      <c r="O14" s="168"/>
      <c r="P14" s="168"/>
      <c r="Q14" s="168"/>
      <c r="R14" s="168"/>
    </row>
    <row r="15" ht="14.25" customHeight="1">
      <c r="B15" s="85" t="s">
        <v>379</v>
      </c>
      <c r="C15" s="168" t="str">
        <f t="shared" ref="C15:I15" si="13">C$12*20%</f>
        <v>  -   </v>
      </c>
      <c r="D15" s="168" t="str">
        <f t="shared" si="13"/>
        <v>  -   </v>
      </c>
      <c r="E15" s="168" t="str">
        <f t="shared" si="13"/>
        <v>  -   </v>
      </c>
      <c r="F15" s="168" t="str">
        <f t="shared" si="13"/>
        <v>  -   </v>
      </c>
      <c r="G15" s="168" t="str">
        <f t="shared" si="13"/>
        <v>  -   </v>
      </c>
      <c r="H15" s="168" t="str">
        <f t="shared" si="13"/>
        <v>  -   </v>
      </c>
      <c r="I15" s="168" t="str">
        <f t="shared" si="13"/>
        <v>  -   </v>
      </c>
      <c r="K15" s="85" t="s">
        <v>796</v>
      </c>
      <c r="L15" s="168" t="str">
        <f t="shared" ref="L15:R15" si="14">L$12*55%</f>
        <v>  -   </v>
      </c>
      <c r="M15" s="168" t="str">
        <f t="shared" si="14"/>
        <v>  -   </v>
      </c>
      <c r="N15" s="168" t="str">
        <f t="shared" si="14"/>
        <v>  -   </v>
      </c>
      <c r="O15" s="168" t="str">
        <f t="shared" si="14"/>
        <v>  -   </v>
      </c>
      <c r="P15" s="168" t="str">
        <f t="shared" si="14"/>
        <v>  -   </v>
      </c>
      <c r="Q15" s="168" t="str">
        <f t="shared" si="14"/>
        <v>  -   </v>
      </c>
      <c r="R15" s="168" t="str">
        <f t="shared" si="14"/>
        <v>  -   </v>
      </c>
    </row>
    <row r="16" ht="14.25" customHeight="1">
      <c r="B16" s="332"/>
      <c r="C16" s="332"/>
      <c r="D16" s="332"/>
      <c r="E16" s="332"/>
      <c r="F16" s="332"/>
      <c r="G16" s="332"/>
      <c r="H16" s="332"/>
      <c r="I16" s="332"/>
      <c r="K16" s="85"/>
      <c r="L16" s="168"/>
      <c r="M16" s="168"/>
      <c r="N16" s="168"/>
      <c r="O16" s="168"/>
      <c r="P16" s="168"/>
      <c r="Q16" s="168"/>
      <c r="R16" s="168"/>
    </row>
    <row r="17" ht="14.25" customHeight="1">
      <c r="B17" s="332" t="s">
        <v>797</v>
      </c>
      <c r="C17" s="402"/>
      <c r="D17" s="402"/>
      <c r="E17" s="402"/>
      <c r="F17" s="402"/>
      <c r="G17" s="402"/>
      <c r="H17" s="402"/>
      <c r="I17" s="402"/>
      <c r="K17" s="332" t="s">
        <v>798</v>
      </c>
      <c r="L17" s="168"/>
      <c r="M17" s="168"/>
      <c r="N17" s="168"/>
      <c r="O17" s="168"/>
      <c r="P17" s="168"/>
      <c r="Q17" s="168"/>
      <c r="R17" s="168"/>
    </row>
    <row r="18" ht="14.25" customHeight="1">
      <c r="B18" s="85" t="str">
        <f t="shared" ref="B18:B20" si="17">B13</f>
        <v>Soybean</v>
      </c>
      <c r="C18" s="402" t="str">
        <f t="shared" ref="C18:I18" si="15">C13*98%</f>
        <v>  -   </v>
      </c>
      <c r="D18" s="402" t="str">
        <f t="shared" si="15"/>
        <v>  -   </v>
      </c>
      <c r="E18" s="402" t="str">
        <f t="shared" si="15"/>
        <v>  -   </v>
      </c>
      <c r="F18" s="402" t="str">
        <f t="shared" si="15"/>
        <v>  -   </v>
      </c>
      <c r="G18" s="402" t="str">
        <f t="shared" si="15"/>
        <v>  -   </v>
      </c>
      <c r="H18" s="402" t="str">
        <f t="shared" si="15"/>
        <v>  -   </v>
      </c>
      <c r="I18" s="402" t="str">
        <f t="shared" si="15"/>
        <v>  -   </v>
      </c>
      <c r="K18" s="85" t="str">
        <f>K13</f>
        <v>Ground Nut Seed</v>
      </c>
      <c r="L18" s="168" t="str">
        <f t="shared" ref="L18:R18" si="16">(L13*30%)/25</f>
        <v>  -   </v>
      </c>
      <c r="M18" s="168" t="str">
        <f t="shared" si="16"/>
        <v>  -   </v>
      </c>
      <c r="N18" s="168" t="str">
        <f t="shared" si="16"/>
        <v>  -   </v>
      </c>
      <c r="O18" s="168" t="str">
        <f t="shared" si="16"/>
        <v>  -   </v>
      </c>
      <c r="P18" s="168" t="str">
        <f t="shared" si="16"/>
        <v>  -   </v>
      </c>
      <c r="Q18" s="168" t="str">
        <f t="shared" si="16"/>
        <v>  -   </v>
      </c>
      <c r="R18" s="168" t="str">
        <f t="shared" si="16"/>
        <v>  -   </v>
      </c>
    </row>
    <row r="19" ht="14.25" customHeight="1">
      <c r="B19" s="85" t="str">
        <f t="shared" si="17"/>
        <v>Red Gram</v>
      </c>
      <c r="C19" s="402" t="str">
        <f t="shared" ref="C19:I19" si="18">C14*98%</f>
        <v>  -   </v>
      </c>
      <c r="D19" s="402" t="str">
        <f t="shared" si="18"/>
        <v>  -   </v>
      </c>
      <c r="E19" s="402" t="str">
        <f t="shared" si="18"/>
        <v>  -   </v>
      </c>
      <c r="F19" s="402" t="str">
        <f t="shared" si="18"/>
        <v>  -   </v>
      </c>
      <c r="G19" s="402" t="str">
        <f t="shared" si="18"/>
        <v>  -   </v>
      </c>
      <c r="H19" s="402" t="str">
        <f t="shared" si="18"/>
        <v>  -   </v>
      </c>
      <c r="I19" s="402" t="str">
        <f t="shared" si="18"/>
        <v>  -   </v>
      </c>
      <c r="K19" s="85"/>
      <c r="L19" s="168"/>
      <c r="M19" s="168"/>
      <c r="N19" s="168"/>
      <c r="O19" s="168"/>
      <c r="P19" s="168"/>
      <c r="Q19" s="168"/>
      <c r="R19" s="168"/>
    </row>
    <row r="20" ht="14.25" customHeight="1">
      <c r="B20" s="85" t="str">
        <f t="shared" si="17"/>
        <v>Bengal Gram</v>
      </c>
      <c r="C20" s="402" t="str">
        <f t="shared" ref="C20:I20" si="19">C15*98%</f>
        <v>  -   </v>
      </c>
      <c r="D20" s="402" t="str">
        <f t="shared" si="19"/>
        <v>  -   </v>
      </c>
      <c r="E20" s="402" t="str">
        <f t="shared" si="19"/>
        <v>  -   </v>
      </c>
      <c r="F20" s="402" t="str">
        <f t="shared" si="19"/>
        <v>  -   </v>
      </c>
      <c r="G20" s="402" t="str">
        <f t="shared" si="19"/>
        <v>  -   </v>
      </c>
      <c r="H20" s="402" t="str">
        <f t="shared" si="19"/>
        <v>  -   </v>
      </c>
      <c r="I20" s="402" t="str">
        <f t="shared" si="19"/>
        <v>  -   </v>
      </c>
      <c r="K20" s="85" t="str">
        <f>K15</f>
        <v>Sunflower Seed</v>
      </c>
      <c r="L20" s="168" t="str">
        <f t="shared" ref="L20:R20" si="20">(L15*30%)/25</f>
        <v>  -   </v>
      </c>
      <c r="M20" s="168" t="str">
        <f t="shared" si="20"/>
        <v>  -   </v>
      </c>
      <c r="N20" s="168" t="str">
        <f t="shared" si="20"/>
        <v>  -   </v>
      </c>
      <c r="O20" s="168" t="str">
        <f t="shared" si="20"/>
        <v>  -   </v>
      </c>
      <c r="P20" s="168" t="str">
        <f t="shared" si="20"/>
        <v>  -   </v>
      </c>
      <c r="Q20" s="168" t="str">
        <f t="shared" si="20"/>
        <v>  -   </v>
      </c>
      <c r="R20" s="168" t="str">
        <f t="shared" si="20"/>
        <v>  -   </v>
      </c>
    </row>
    <row r="21" ht="14.25" customHeight="1">
      <c r="K21" s="85"/>
      <c r="L21" s="168"/>
      <c r="M21" s="168"/>
      <c r="N21" s="168"/>
      <c r="O21" s="168"/>
      <c r="P21" s="168"/>
      <c r="Q21" s="168"/>
      <c r="R21" s="168"/>
    </row>
    <row r="22" ht="14.25" customHeight="1">
      <c r="C22" s="38"/>
      <c r="D22" s="37"/>
      <c r="E22" s="37"/>
      <c r="K22" s="85" t="s">
        <v>799</v>
      </c>
      <c r="L22" s="168"/>
      <c r="M22" s="168"/>
      <c r="N22" s="168"/>
      <c r="O22" s="168"/>
      <c r="P22" s="168"/>
      <c r="Q22" s="168"/>
      <c r="R22" s="168"/>
    </row>
    <row r="23" ht="14.25" customHeight="1">
      <c r="C23" s="38"/>
      <c r="D23" s="37"/>
      <c r="E23" s="37"/>
      <c r="K23" s="85" t="str">
        <f>K18</f>
        <v>Ground Nut Seed</v>
      </c>
      <c r="L23" s="168" t="str">
        <f t="shared" ref="L23:R23" si="21">(L13*70%)/50</f>
        <v>  -   </v>
      </c>
      <c r="M23" s="168" t="str">
        <f t="shared" si="21"/>
        <v>  -   </v>
      </c>
      <c r="N23" s="168" t="str">
        <f t="shared" si="21"/>
        <v>  -   </v>
      </c>
      <c r="O23" s="168" t="str">
        <f t="shared" si="21"/>
        <v>  -   </v>
      </c>
      <c r="P23" s="168" t="str">
        <f t="shared" si="21"/>
        <v>  -   </v>
      </c>
      <c r="Q23" s="168" t="str">
        <f t="shared" si="21"/>
        <v>  -   </v>
      </c>
      <c r="R23" s="168" t="str">
        <f t="shared" si="21"/>
        <v>  -   </v>
      </c>
    </row>
    <row r="24" ht="14.25" customHeight="1">
      <c r="C24" s="38"/>
      <c r="D24" s="37"/>
      <c r="E24" s="37"/>
      <c r="K24" s="85" t="str">
        <f>K20</f>
        <v>Sunflower Seed</v>
      </c>
      <c r="L24" s="168" t="str">
        <f t="shared" ref="L24:R24" si="22">(L15*70%)/50</f>
        <v>  -   </v>
      </c>
      <c r="M24" s="168" t="str">
        <f t="shared" si="22"/>
        <v>  -   </v>
      </c>
      <c r="N24" s="168" t="str">
        <f t="shared" si="22"/>
        <v>  -   </v>
      </c>
      <c r="O24" s="168" t="str">
        <f t="shared" si="22"/>
        <v>  -   </v>
      </c>
      <c r="P24" s="168" t="str">
        <f t="shared" si="22"/>
        <v>  -   </v>
      </c>
      <c r="Q24" s="168" t="str">
        <f t="shared" si="22"/>
        <v>  -   </v>
      </c>
      <c r="R24" s="168" t="str">
        <f t="shared" si="22"/>
        <v>  -   </v>
      </c>
    </row>
    <row r="25" ht="14.25" customHeight="1">
      <c r="C25" s="38"/>
      <c r="D25" s="37"/>
      <c r="E25" s="37"/>
      <c r="K25" s="85" t="str">
        <f>#REF!</f>
        <v>#REF!</v>
      </c>
      <c r="L25" s="168" t="str">
        <f t="shared" ref="L25:R25" si="23">(#REF!*70%)/50</f>
        <v>#REF!</v>
      </c>
      <c r="M25" s="168" t="str">
        <f t="shared" si="23"/>
        <v>#REF!</v>
      </c>
      <c r="N25" s="168" t="str">
        <f t="shared" si="23"/>
        <v>#REF!</v>
      </c>
      <c r="O25" s="168" t="str">
        <f t="shared" si="23"/>
        <v>#REF!</v>
      </c>
      <c r="P25" s="168" t="str">
        <f t="shared" si="23"/>
        <v>#REF!</v>
      </c>
      <c r="Q25" s="168" t="str">
        <f t="shared" si="23"/>
        <v>#REF!</v>
      </c>
      <c r="R25" s="168" t="str">
        <f t="shared" si="23"/>
        <v>#REF!</v>
      </c>
    </row>
    <row r="26" ht="14.25" customHeight="1">
      <c r="K26" t="str">
        <f>K21</f>
        <v/>
      </c>
    </row>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sheetData>
  <printOptions/>
  <pageMargins bottom="0.75" footer="0.0" header="0.0" left="0.7" right="0.7" top="0.75"/>
  <pageSetup orientation="portrait"/>
  <drawing r:id="rId1"/>
</worksheet>
</file>

<file path=xl/worksheets/sheet2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8" width="8.71"/>
    <col customWidth="1" min="9" max="9" width="10.29"/>
    <col customWidth="1" min="10" max="10" width="10.57"/>
    <col customWidth="1" min="11" max="11" width="8.71"/>
    <col customWidth="1" min="12" max="12" width="10.86"/>
  </cols>
  <sheetData>
    <row r="1" ht="14.25" customHeight="1"/>
    <row r="2" ht="14.25" customHeight="1"/>
    <row r="3" ht="14.25" customHeight="1"/>
    <row r="4" ht="14.25" customHeight="1"/>
    <row r="5" ht="14.25" customHeight="1"/>
    <row r="6" ht="14.25" customHeight="1">
      <c r="H6" t="s">
        <v>800</v>
      </c>
      <c r="I6" t="s">
        <v>801</v>
      </c>
      <c r="J6" t="s">
        <v>802</v>
      </c>
      <c r="K6" t="s">
        <v>88</v>
      </c>
      <c r="L6" t="s">
        <v>549</v>
      </c>
    </row>
    <row r="7" ht="14.25" customHeight="1">
      <c r="H7" t="s">
        <v>575</v>
      </c>
      <c r="I7">
        <v>500.0</v>
      </c>
      <c r="J7" t="str">
        <f>5</f>
        <v>5</v>
      </c>
      <c r="K7" t="str">
        <f t="shared" ref="K7:K8" si="1">I7*J7</f>
        <v>2500</v>
      </c>
      <c r="L7">
        <v>30000.0</v>
      </c>
    </row>
    <row r="8" ht="14.25" customHeight="1">
      <c r="H8" t="s">
        <v>586</v>
      </c>
      <c r="I8">
        <v>1500.0</v>
      </c>
      <c r="J8" t="s">
        <v>803</v>
      </c>
      <c r="K8" t="str">
        <f t="shared" si="1"/>
        <v>#VALUE!</v>
      </c>
      <c r="L8">
        <v>50000.0</v>
      </c>
    </row>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sheetData>
  <printOptions/>
  <pageMargins bottom="0.75" footer="0.0" header="0.0" left="0.7" right="0.7" top="0.75"/>
  <pageSetup orientation="landscape"/>
  <drawing r:id="rId1"/>
</worksheet>
</file>

<file path=xl/worksheets/sheet2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1" width="8.71"/>
  </cols>
  <sheetData>
    <row r="1" ht="14.25" customHeight="1"/>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7.57"/>
    <col customWidth="1" min="3" max="3" width="47.14"/>
    <col customWidth="1" min="4" max="4" width="9.71"/>
    <col customWidth="1" min="5" max="5" width="17.0"/>
    <col customWidth="1" min="6" max="6" width="14.0"/>
    <col customWidth="1" min="7" max="7" width="12.0"/>
    <col customWidth="1" min="8" max="8" width="11.57"/>
    <col customWidth="1" min="9" max="10" width="11.43"/>
    <col customWidth="1" min="11" max="11" width="8.71"/>
  </cols>
  <sheetData>
    <row r="1" ht="14.25" customHeight="1"/>
    <row r="2" ht="14.25" customHeight="1">
      <c r="A2">
        <v>2.1</v>
      </c>
      <c r="B2" s="25" t="s">
        <v>120</v>
      </c>
    </row>
    <row r="3" ht="14.25" customHeight="1"/>
    <row r="4" ht="14.25" customHeight="1">
      <c r="B4" s="58" t="s">
        <v>82</v>
      </c>
      <c r="C4" s="58" t="s">
        <v>83</v>
      </c>
      <c r="D4" s="58" t="s">
        <v>121</v>
      </c>
      <c r="E4" s="58" t="s">
        <v>122</v>
      </c>
      <c r="F4" s="58" t="s">
        <v>123</v>
      </c>
      <c r="G4" s="58" t="s">
        <v>84</v>
      </c>
    </row>
    <row r="5" ht="14.25" customHeight="1">
      <c r="B5" s="59">
        <v>1.0</v>
      </c>
      <c r="C5" s="59" t="s">
        <v>124</v>
      </c>
      <c r="D5" s="59" t="s">
        <v>125</v>
      </c>
      <c r="E5" s="60"/>
      <c r="F5" s="61"/>
      <c r="G5" s="62" t="s">
        <v>126</v>
      </c>
    </row>
    <row r="6" ht="14.25" customHeight="1">
      <c r="B6" s="59">
        <v>2.0</v>
      </c>
      <c r="C6" s="59" t="s">
        <v>127</v>
      </c>
      <c r="D6" s="63" t="s">
        <v>128</v>
      </c>
      <c r="E6" s="64">
        <v>1068.11</v>
      </c>
      <c r="F6" s="65" t="str">
        <f t="shared" ref="F6:F7" si="1">G6/E6</f>
        <v>  19,836 </v>
      </c>
      <c r="G6" s="66">
        <v>2.1187103E7</v>
      </c>
      <c r="H6" s="44"/>
      <c r="I6" s="37" t="str">
        <f>G6*2%</f>
        <v>  423,742.06 </v>
      </c>
      <c r="J6" s="44" t="str">
        <f>G6+I6</f>
        <v>  21,610,845 </v>
      </c>
    </row>
    <row r="7" ht="14.25" customHeight="1">
      <c r="B7" s="59">
        <v>3.0</v>
      </c>
      <c r="C7" s="59" t="s">
        <v>129</v>
      </c>
      <c r="D7" s="63" t="s">
        <v>128</v>
      </c>
      <c r="E7" s="64" t="str">
        <f>24.52*7.62</f>
        <v>  187 </v>
      </c>
      <c r="F7" s="67" t="str">
        <f t="shared" si="1"/>
        <v>  17,135 </v>
      </c>
      <c r="G7" s="68">
        <v>3201502.0</v>
      </c>
      <c r="I7" s="44" t="str">
        <f>#REF!/2</f>
        <v>#REF!</v>
      </c>
    </row>
    <row r="8" ht="14.25" customHeight="1">
      <c r="B8" s="59">
        <v>4.0</v>
      </c>
      <c r="C8" s="59" t="s">
        <v>130</v>
      </c>
      <c r="D8" s="63" t="s">
        <v>128</v>
      </c>
      <c r="E8" s="64">
        <v>1.0</v>
      </c>
      <c r="F8" s="67" t="str">
        <f>G8</f>
        <v>  413,671 </v>
      </c>
      <c r="G8" s="68">
        <v>413671.0</v>
      </c>
      <c r="I8" s="44"/>
    </row>
    <row r="9" ht="14.25" customHeight="1">
      <c r="B9" s="69" t="s">
        <v>88</v>
      </c>
      <c r="C9" s="5"/>
      <c r="D9" s="5"/>
      <c r="E9" s="5"/>
      <c r="F9" s="6"/>
      <c r="G9" s="70" t="str">
        <f>SUM(G6:G8)</f>
        <v>  24,802,276 </v>
      </c>
      <c r="J9" s="38"/>
    </row>
    <row r="10" ht="14.25" customHeight="1"/>
    <row r="11" ht="14.25" customHeight="1"/>
    <row r="12" ht="14.25" customHeight="1">
      <c r="B12" s="24" t="s">
        <v>131</v>
      </c>
    </row>
    <row r="13" ht="14.25" customHeight="1"/>
    <row r="14" ht="14.25" customHeight="1">
      <c r="A14">
        <v>2.2</v>
      </c>
      <c r="B14" s="25" t="s">
        <v>132</v>
      </c>
    </row>
    <row r="15" ht="14.25" customHeight="1">
      <c r="B15" s="71"/>
    </row>
    <row r="16" ht="14.25" customHeight="1">
      <c r="B16" s="58" t="s">
        <v>82</v>
      </c>
      <c r="C16" s="58" t="s">
        <v>10</v>
      </c>
      <c r="D16" s="58" t="s">
        <v>133</v>
      </c>
      <c r="E16" s="58" t="s">
        <v>134</v>
      </c>
      <c r="F16" s="58" t="s">
        <v>135</v>
      </c>
      <c r="G16" s="58" t="s">
        <v>84</v>
      </c>
      <c r="H16" s="58" t="s">
        <v>136</v>
      </c>
    </row>
    <row r="17" ht="14.25" customHeight="1">
      <c r="B17" s="72"/>
      <c r="C17" s="73"/>
      <c r="D17" s="73"/>
      <c r="E17" s="73"/>
      <c r="F17" s="73"/>
      <c r="G17" s="74"/>
      <c r="H17" s="75"/>
    </row>
    <row r="18" ht="14.25" customHeight="1">
      <c r="B18" s="76" t="s">
        <v>19</v>
      </c>
      <c r="C18" s="77" t="s">
        <v>137</v>
      </c>
      <c r="D18" s="77"/>
      <c r="E18" s="76"/>
      <c r="F18" s="78"/>
      <c r="G18" s="74"/>
      <c r="H18" s="79"/>
    </row>
    <row r="19" ht="14.25" customHeight="1">
      <c r="B19" s="76">
        <v>1.0</v>
      </c>
      <c r="C19" s="77" t="s">
        <v>138</v>
      </c>
      <c r="D19" s="77"/>
      <c r="E19" s="76">
        <v>1.0</v>
      </c>
      <c r="F19" s="78">
        <v>1000000.0</v>
      </c>
      <c r="G19" s="74" t="str">
        <f t="shared" ref="G19:G29" si="2">E19*F19</f>
        <v>  1,000,000 </v>
      </c>
      <c r="H19" s="79"/>
    </row>
    <row r="20" ht="14.25" customHeight="1">
      <c r="B20" s="76">
        <v>2.0</v>
      </c>
      <c r="C20" s="77" t="s">
        <v>139</v>
      </c>
      <c r="D20" s="77"/>
      <c r="E20" s="76">
        <v>1.0</v>
      </c>
      <c r="F20" s="78">
        <v>100000.0</v>
      </c>
      <c r="G20" s="74" t="str">
        <f t="shared" si="2"/>
        <v>  100,000 </v>
      </c>
      <c r="H20" s="79"/>
    </row>
    <row r="21" ht="14.25" customHeight="1">
      <c r="B21" s="76">
        <v>3.0</v>
      </c>
      <c r="C21" s="77" t="s">
        <v>140</v>
      </c>
      <c r="D21" s="77"/>
      <c r="E21" s="76">
        <v>1.0</v>
      </c>
      <c r="F21" s="78">
        <v>100000.0</v>
      </c>
      <c r="G21" s="74" t="str">
        <f t="shared" si="2"/>
        <v>  100,000 </v>
      </c>
      <c r="H21" s="79"/>
    </row>
    <row r="22" ht="14.25" customHeight="1">
      <c r="B22" s="76">
        <v>4.0</v>
      </c>
      <c r="C22" s="77" t="s">
        <v>141</v>
      </c>
      <c r="D22" s="77"/>
      <c r="E22" s="76">
        <v>1.0</v>
      </c>
      <c r="F22" s="78">
        <v>250000.0</v>
      </c>
      <c r="G22" s="74" t="str">
        <f t="shared" si="2"/>
        <v>  250,000 </v>
      </c>
      <c r="H22" s="79"/>
    </row>
    <row r="23" ht="14.25" customHeight="1">
      <c r="B23" s="76">
        <v>5.0</v>
      </c>
      <c r="C23" s="77" t="s">
        <v>142</v>
      </c>
      <c r="D23" s="77"/>
      <c r="E23" s="76">
        <v>1.0</v>
      </c>
      <c r="F23" s="78">
        <v>150000.0</v>
      </c>
      <c r="G23" s="74" t="str">
        <f t="shared" si="2"/>
        <v>  150,000 </v>
      </c>
      <c r="H23" s="79"/>
    </row>
    <row r="24" ht="14.25" customHeight="1">
      <c r="B24" s="76">
        <v>6.0</v>
      </c>
      <c r="C24" s="77" t="s">
        <v>143</v>
      </c>
      <c r="D24" s="77"/>
      <c r="E24" s="76">
        <v>1.0</v>
      </c>
      <c r="F24" s="78">
        <v>18000.0</v>
      </c>
      <c r="G24" s="74" t="str">
        <f t="shared" si="2"/>
        <v>  18,000 </v>
      </c>
      <c r="H24" s="79"/>
    </row>
    <row r="25" ht="14.25" customHeight="1">
      <c r="B25" s="76">
        <v>7.0</v>
      </c>
      <c r="C25" s="77" t="s">
        <v>144</v>
      </c>
      <c r="D25" s="76"/>
      <c r="E25" s="76">
        <v>1.0</v>
      </c>
      <c r="F25" s="78">
        <v>18000.0</v>
      </c>
      <c r="G25" s="74" t="str">
        <f t="shared" si="2"/>
        <v>  18,000 </v>
      </c>
      <c r="H25" s="79"/>
    </row>
    <row r="26" ht="14.25" customHeight="1">
      <c r="B26" s="76">
        <v>8.0</v>
      </c>
      <c r="C26" s="77" t="s">
        <v>145</v>
      </c>
      <c r="D26" s="76"/>
      <c r="E26" s="76">
        <v>1.0</v>
      </c>
      <c r="F26" s="78">
        <v>70000.0</v>
      </c>
      <c r="G26" s="74" t="str">
        <f t="shared" si="2"/>
        <v>  70,000 </v>
      </c>
      <c r="H26" s="79"/>
    </row>
    <row r="27" ht="14.25" customHeight="1">
      <c r="B27" s="76">
        <v>9.0</v>
      </c>
      <c r="C27" s="77" t="s">
        <v>146</v>
      </c>
      <c r="D27" s="76"/>
      <c r="E27" s="76">
        <v>1.0</v>
      </c>
      <c r="F27" s="78">
        <v>95000.0</v>
      </c>
      <c r="G27" s="74" t="str">
        <f t="shared" si="2"/>
        <v>  95,000 </v>
      </c>
      <c r="H27" s="79"/>
    </row>
    <row r="28" ht="14.25" customHeight="1">
      <c r="B28" s="76">
        <v>10.0</v>
      </c>
      <c r="C28" s="77" t="s">
        <v>147</v>
      </c>
      <c r="D28" s="76"/>
      <c r="E28" s="76">
        <v>1.0</v>
      </c>
      <c r="F28" s="78">
        <v>200000.0</v>
      </c>
      <c r="G28" s="74" t="str">
        <f t="shared" si="2"/>
        <v>  200,000 </v>
      </c>
      <c r="H28" s="79"/>
    </row>
    <row r="29" ht="14.25" customHeight="1">
      <c r="B29" s="76">
        <v>11.0</v>
      </c>
      <c r="C29" s="77" t="s">
        <v>148</v>
      </c>
      <c r="D29" s="76"/>
      <c r="E29" s="76">
        <v>1.0</v>
      </c>
      <c r="F29" s="78">
        <v>74000.0</v>
      </c>
      <c r="G29" s="74" t="str">
        <f t="shared" si="2"/>
        <v>  74,000 </v>
      </c>
      <c r="H29" s="79"/>
    </row>
    <row r="30" ht="14.25" customHeight="1">
      <c r="B30" s="76"/>
      <c r="C30" s="77"/>
      <c r="D30" s="76"/>
      <c r="E30" s="76"/>
      <c r="F30" s="78"/>
      <c r="G30" s="74"/>
      <c r="H30" s="79"/>
    </row>
    <row r="31" ht="14.25" customHeight="1">
      <c r="B31" s="76"/>
      <c r="C31" s="77"/>
      <c r="D31" s="76"/>
      <c r="E31" s="76"/>
      <c r="F31" s="78"/>
      <c r="G31" s="74"/>
      <c r="H31" s="79"/>
    </row>
    <row r="32" ht="14.25" customHeight="1">
      <c r="B32" s="80" t="s">
        <v>149</v>
      </c>
      <c r="C32" s="6"/>
      <c r="D32" s="76"/>
      <c r="E32" s="76"/>
      <c r="F32" s="81"/>
      <c r="G32" s="74" t="str">
        <f>SUM(G18:G31)</f>
        <v>  2,075,000 </v>
      </c>
      <c r="H32" s="82" t="str">
        <f>SUM(H18:H28)</f>
        <v>  -   </v>
      </c>
    </row>
    <row r="33" ht="14.25" customHeight="1">
      <c r="B33" s="76" t="s">
        <v>61</v>
      </c>
      <c r="C33" s="77"/>
      <c r="D33" s="72"/>
      <c r="E33" s="72"/>
      <c r="F33" s="74"/>
      <c r="G33" s="74"/>
      <c r="H33" s="75"/>
    </row>
    <row r="34" ht="14.25" customHeight="1">
      <c r="B34" s="76" t="s">
        <v>19</v>
      </c>
      <c r="C34" s="83" t="s">
        <v>150</v>
      </c>
      <c r="D34" s="84" t="s">
        <v>151</v>
      </c>
      <c r="E34" s="72"/>
      <c r="F34" s="74"/>
      <c r="G34" s="74"/>
      <c r="H34" s="75"/>
    </row>
    <row r="35" ht="14.25" customHeight="1">
      <c r="B35" s="76">
        <v>1.0</v>
      </c>
      <c r="C35" s="85" t="s">
        <v>152</v>
      </c>
      <c r="D35" s="72"/>
      <c r="E35" s="72">
        <v>1.0</v>
      </c>
      <c r="F35" s="74">
        <v>360000.0</v>
      </c>
      <c r="G35" s="74" t="str">
        <f t="shared" ref="G35:G38" si="3">E35*F35</f>
        <v>  360,000 </v>
      </c>
      <c r="H35" s="75">
        <v>68.5</v>
      </c>
    </row>
    <row r="36" ht="14.25" customHeight="1">
      <c r="B36" s="72"/>
      <c r="C36" s="85" t="s">
        <v>153</v>
      </c>
      <c r="D36" s="72"/>
      <c r="E36" s="72">
        <v>11.0</v>
      </c>
      <c r="F36" s="74" t="str">
        <f>297000/11</f>
        <v>  27,000 </v>
      </c>
      <c r="G36" s="74" t="str">
        <f t="shared" si="3"/>
        <v>  297,000 </v>
      </c>
      <c r="H36" s="75"/>
    </row>
    <row r="37" ht="14.25" customHeight="1">
      <c r="B37" s="72"/>
      <c r="C37" s="85" t="s">
        <v>154</v>
      </c>
      <c r="D37" s="72"/>
      <c r="E37" s="72">
        <v>2.0</v>
      </c>
      <c r="F37" s="74">
        <v>120000.0</v>
      </c>
      <c r="G37" s="74" t="str">
        <f t="shared" si="3"/>
        <v>  240,000 </v>
      </c>
      <c r="H37" s="75"/>
    </row>
    <row r="38" ht="14.25" customHeight="1">
      <c r="B38" s="72"/>
      <c r="C38" s="85" t="s">
        <v>155</v>
      </c>
      <c r="D38" s="72"/>
      <c r="E38" s="72">
        <v>1.0</v>
      </c>
      <c r="F38" s="74">
        <v>280000.0</v>
      </c>
      <c r="G38" s="74" t="str">
        <f t="shared" si="3"/>
        <v>  280,000 </v>
      </c>
      <c r="H38" s="75"/>
    </row>
    <row r="39" ht="14.25" customHeight="1">
      <c r="B39" s="72"/>
      <c r="C39" s="85" t="s">
        <v>156</v>
      </c>
      <c r="D39" s="72"/>
      <c r="E39" s="72">
        <v>1.0</v>
      </c>
      <c r="F39" s="74">
        <v>340000.0</v>
      </c>
      <c r="G39" s="74" t="str">
        <f>F39</f>
        <v>  340,000 </v>
      </c>
      <c r="H39" s="75"/>
    </row>
    <row r="40" ht="14.25" customHeight="1">
      <c r="B40" s="72"/>
      <c r="C40" s="85" t="s">
        <v>157</v>
      </c>
      <c r="D40" s="72"/>
      <c r="E40" s="72">
        <v>5.0</v>
      </c>
      <c r="F40" s="74">
        <v>30000.0</v>
      </c>
      <c r="G40" s="74" t="str">
        <f t="shared" ref="G40:G48" si="4">E40*F40</f>
        <v>  150,000 </v>
      </c>
      <c r="H40" s="75"/>
    </row>
    <row r="41" ht="14.25" customHeight="1">
      <c r="B41" s="72"/>
      <c r="C41" s="85" t="s">
        <v>158</v>
      </c>
      <c r="D41" s="72"/>
      <c r="E41" s="72">
        <v>6.0</v>
      </c>
      <c r="F41" s="74">
        <v>70000.0</v>
      </c>
      <c r="G41" s="74" t="str">
        <f t="shared" si="4"/>
        <v>  420,000 </v>
      </c>
      <c r="H41" s="75"/>
    </row>
    <row r="42" ht="14.25" customHeight="1">
      <c r="B42" s="72"/>
      <c r="C42" s="85" t="s">
        <v>159</v>
      </c>
      <c r="D42" s="72"/>
      <c r="E42" s="72">
        <v>1.0</v>
      </c>
      <c r="F42" s="74">
        <v>42000.0</v>
      </c>
      <c r="G42" s="74" t="str">
        <f t="shared" si="4"/>
        <v>  42,000 </v>
      </c>
      <c r="H42" s="75"/>
    </row>
    <row r="43" ht="14.25" customHeight="1">
      <c r="B43" s="72"/>
      <c r="C43" s="85" t="s">
        <v>160</v>
      </c>
      <c r="D43" s="72"/>
      <c r="E43" s="72">
        <v>1.0</v>
      </c>
      <c r="F43" s="74">
        <v>125000.0</v>
      </c>
      <c r="G43" s="74" t="str">
        <f t="shared" si="4"/>
        <v>  125,000 </v>
      </c>
      <c r="H43" s="75"/>
    </row>
    <row r="44" ht="14.25" customHeight="1">
      <c r="B44" s="72"/>
      <c r="C44" s="85" t="s">
        <v>161</v>
      </c>
      <c r="D44" s="72"/>
      <c r="E44" s="72">
        <v>2.0</v>
      </c>
      <c r="F44" s="74">
        <v>80000.0</v>
      </c>
      <c r="G44" s="74" t="str">
        <f t="shared" si="4"/>
        <v>  160,000 </v>
      </c>
      <c r="H44" s="75"/>
    </row>
    <row r="45" ht="14.25" customHeight="1">
      <c r="B45" s="72"/>
      <c r="C45" s="85" t="s">
        <v>162</v>
      </c>
      <c r="D45" s="72"/>
      <c r="E45" s="72">
        <v>2.0</v>
      </c>
      <c r="F45" s="74">
        <v>45000.0</v>
      </c>
      <c r="G45" s="74" t="str">
        <f t="shared" si="4"/>
        <v>  90,000 </v>
      </c>
      <c r="H45" s="75"/>
    </row>
    <row r="46" ht="14.25" customHeight="1">
      <c r="B46" s="72"/>
      <c r="C46" s="85" t="s">
        <v>163</v>
      </c>
      <c r="D46" s="72"/>
      <c r="E46" s="72">
        <v>1.0</v>
      </c>
      <c r="F46" s="74">
        <v>160000.0</v>
      </c>
      <c r="G46" s="74" t="str">
        <f t="shared" si="4"/>
        <v>  160,000 </v>
      </c>
      <c r="H46" s="75"/>
    </row>
    <row r="47" ht="14.25" customHeight="1">
      <c r="B47" s="72"/>
      <c r="C47" s="85" t="s">
        <v>164</v>
      </c>
      <c r="D47" s="72"/>
      <c r="E47" s="72">
        <v>2.0</v>
      </c>
      <c r="F47" s="74">
        <v>90000.0</v>
      </c>
      <c r="G47" s="74" t="str">
        <f t="shared" si="4"/>
        <v>  180,000 </v>
      </c>
      <c r="H47" s="75"/>
    </row>
    <row r="48" ht="14.25" customHeight="1">
      <c r="B48" s="72"/>
      <c r="C48" s="85" t="s">
        <v>165</v>
      </c>
      <c r="D48" s="72"/>
      <c r="E48" s="72">
        <v>1.0</v>
      </c>
      <c r="F48" s="74">
        <v>338910.0</v>
      </c>
      <c r="G48" s="74" t="str">
        <f t="shared" si="4"/>
        <v>  338,910 </v>
      </c>
      <c r="H48" s="75"/>
    </row>
    <row r="49" ht="14.25" customHeight="1">
      <c r="B49" s="72"/>
      <c r="C49" s="85" t="s">
        <v>166</v>
      </c>
      <c r="D49" s="72"/>
      <c r="E49" s="72"/>
      <c r="F49" s="74"/>
      <c r="G49" s="81" t="str">
        <f>SUM(G33:G48)*18%</f>
        <v>  572,924 </v>
      </c>
      <c r="H49" s="75"/>
    </row>
    <row r="50" ht="14.25" customHeight="1">
      <c r="B50" s="72"/>
      <c r="C50" s="85" t="s">
        <v>167</v>
      </c>
      <c r="D50" s="72"/>
      <c r="E50" s="72"/>
      <c r="F50" s="74"/>
      <c r="G50" s="81">
        <v>45000.0</v>
      </c>
      <c r="H50" s="75"/>
    </row>
    <row r="51" ht="14.25" customHeight="1">
      <c r="B51" s="86" t="s">
        <v>149</v>
      </c>
      <c r="C51" s="6"/>
      <c r="D51" s="76"/>
      <c r="E51" s="76"/>
      <c r="F51" s="81"/>
      <c r="G51" s="81" t="str">
        <f>SUM(G35:G50)</f>
        <v>  3,800,834 </v>
      </c>
      <c r="H51" s="87" t="str">
        <f>SUM(H35:H38)</f>
        <v>  69 </v>
      </c>
    </row>
    <row r="52" ht="14.25" customHeight="1">
      <c r="B52" s="72"/>
      <c r="C52" s="84" t="s">
        <v>168</v>
      </c>
      <c r="D52" s="72"/>
      <c r="E52" s="76"/>
      <c r="F52" s="74"/>
      <c r="G52" s="74"/>
      <c r="H52" s="75"/>
    </row>
    <row r="53" ht="14.25" customHeight="1">
      <c r="B53" s="72"/>
      <c r="C53" s="84" t="s">
        <v>169</v>
      </c>
      <c r="D53" s="72"/>
      <c r="E53" s="76">
        <v>1.0</v>
      </c>
      <c r="F53" s="74">
        <v>610000.0</v>
      </c>
      <c r="G53" s="74" t="str">
        <f>E53*F53</f>
        <v>  610,000 </v>
      </c>
      <c r="H53" s="75"/>
    </row>
    <row r="54" ht="14.25" customHeight="1">
      <c r="B54" s="72"/>
      <c r="C54" s="84" t="s">
        <v>166</v>
      </c>
      <c r="D54" s="72"/>
      <c r="E54" s="76"/>
      <c r="F54" s="74"/>
      <c r="G54" s="74" t="str">
        <f>G53*18%</f>
        <v>  109,800 </v>
      </c>
      <c r="H54" s="75"/>
    </row>
    <row r="55" ht="14.25" customHeight="1">
      <c r="B55" s="72"/>
      <c r="C55" s="86" t="s">
        <v>149</v>
      </c>
      <c r="D55" s="6"/>
      <c r="E55" s="76"/>
      <c r="F55" s="74"/>
      <c r="G55" s="81" t="str">
        <f>SUM(G52:G54)</f>
        <v>  719,800 </v>
      </c>
      <c r="H55" s="75"/>
      <c r="I55" s="38" t="str">
        <f>G55+G51</f>
        <v>  4,520,634 </v>
      </c>
    </row>
    <row r="56" ht="14.25" hidden="1" customHeight="1">
      <c r="B56" s="76" t="s">
        <v>170</v>
      </c>
      <c r="C56" s="77" t="s">
        <v>171</v>
      </c>
      <c r="D56" s="72" t="s">
        <v>172</v>
      </c>
      <c r="E56" s="72"/>
      <c r="F56" s="74"/>
      <c r="G56" s="74"/>
      <c r="H56" s="75"/>
    </row>
    <row r="57" ht="14.25" hidden="1" customHeight="1">
      <c r="B57" s="76"/>
      <c r="C57" s="85"/>
      <c r="D57" s="72"/>
      <c r="E57" s="72"/>
      <c r="F57" s="74"/>
      <c r="G57" s="74" t="str">
        <f>E57*F57</f>
        <v>  -   </v>
      </c>
      <c r="H57" s="75"/>
    </row>
    <row r="58" ht="14.25" hidden="1" customHeight="1">
      <c r="B58" s="76"/>
      <c r="C58" s="77"/>
      <c r="D58" s="84"/>
      <c r="E58" s="72"/>
      <c r="F58" s="74"/>
      <c r="G58" s="74"/>
      <c r="H58" s="75"/>
    </row>
    <row r="59" ht="14.25" hidden="1" customHeight="1">
      <c r="B59" s="76"/>
      <c r="C59" s="77"/>
      <c r="D59" s="84"/>
      <c r="E59" s="72"/>
      <c r="F59" s="74"/>
      <c r="G59" s="74"/>
      <c r="H59" s="75"/>
    </row>
    <row r="60" ht="14.25" hidden="1" customHeight="1">
      <c r="B60" s="76"/>
      <c r="C60" s="77"/>
      <c r="D60" s="84"/>
      <c r="E60" s="72"/>
      <c r="F60" s="74"/>
      <c r="G60" s="74"/>
      <c r="H60" s="75"/>
    </row>
    <row r="61" ht="14.25" hidden="1" customHeight="1">
      <c r="B61" s="76"/>
      <c r="C61" s="77"/>
      <c r="D61" s="84"/>
      <c r="E61" s="72"/>
      <c r="F61" s="74"/>
      <c r="G61" s="74" t="str">
        <f>E61*F61</f>
        <v>  -   </v>
      </c>
      <c r="H61" s="75"/>
    </row>
    <row r="62" ht="14.25" hidden="1" customHeight="1">
      <c r="B62" s="80" t="s">
        <v>149</v>
      </c>
      <c r="C62" s="6"/>
      <c r="D62" s="84"/>
      <c r="E62" s="72"/>
      <c r="F62" s="74"/>
      <c r="G62" s="81" t="str">
        <f>SUM(G56:G61)</f>
        <v>  -   </v>
      </c>
      <c r="H62" s="87">
        <v>10.0</v>
      </c>
    </row>
    <row r="63" ht="14.25" hidden="1" customHeight="1">
      <c r="B63" s="76"/>
      <c r="C63" s="76"/>
      <c r="D63" s="84"/>
      <c r="E63" s="72"/>
      <c r="F63" s="74"/>
      <c r="G63" s="74"/>
      <c r="H63" s="82"/>
    </row>
    <row r="64" ht="14.25" hidden="1" customHeight="1">
      <c r="B64" s="76" t="s">
        <v>173</v>
      </c>
      <c r="C64" s="76" t="s">
        <v>174</v>
      </c>
      <c r="D64" s="84" t="s">
        <v>175</v>
      </c>
      <c r="E64" s="72">
        <v>1.0</v>
      </c>
      <c r="F64" s="74"/>
      <c r="G64" s="74" t="str">
        <f>E64*F64</f>
        <v>  -   </v>
      </c>
      <c r="H64" s="82"/>
    </row>
    <row r="65" ht="14.25" hidden="1" customHeight="1">
      <c r="B65" s="76"/>
      <c r="C65" s="88"/>
      <c r="D65" s="84"/>
      <c r="E65" s="72"/>
      <c r="F65" s="74"/>
      <c r="G65" s="74"/>
      <c r="H65" s="82"/>
    </row>
    <row r="66" ht="14.25" hidden="1" customHeight="1">
      <c r="B66" s="76"/>
      <c r="C66" s="88"/>
      <c r="D66" s="84"/>
      <c r="E66" s="72"/>
      <c r="F66" s="74"/>
      <c r="G66" s="74"/>
      <c r="H66" s="82"/>
    </row>
    <row r="67" ht="14.25" hidden="1" customHeight="1">
      <c r="B67" s="76"/>
      <c r="C67" s="77"/>
      <c r="D67" s="84"/>
      <c r="E67" s="72"/>
      <c r="F67" s="74"/>
      <c r="G67" s="74"/>
      <c r="H67" s="75"/>
    </row>
    <row r="68" ht="14.25" hidden="1" customHeight="1">
      <c r="B68" s="76"/>
      <c r="C68" s="77"/>
      <c r="D68" s="84"/>
      <c r="E68" s="72"/>
      <c r="F68" s="74"/>
      <c r="G68" s="74"/>
      <c r="H68" s="75"/>
    </row>
    <row r="69" ht="14.25" hidden="1" customHeight="1">
      <c r="B69" s="76"/>
      <c r="C69" s="77"/>
      <c r="D69" s="84"/>
      <c r="E69" s="72"/>
      <c r="F69" s="74"/>
      <c r="G69" s="74"/>
      <c r="H69" s="75"/>
    </row>
    <row r="70" ht="14.25" hidden="1" customHeight="1">
      <c r="B70" s="76"/>
      <c r="C70" s="77"/>
      <c r="D70" s="84"/>
      <c r="E70" s="72"/>
      <c r="F70" s="74"/>
      <c r="G70" s="74"/>
      <c r="H70" s="75"/>
    </row>
    <row r="71" ht="14.25" hidden="1" customHeight="1">
      <c r="B71" s="76"/>
      <c r="C71" s="77"/>
      <c r="D71" s="84"/>
      <c r="E71" s="72"/>
      <c r="F71" s="74"/>
      <c r="G71" s="74"/>
      <c r="H71" s="75"/>
    </row>
    <row r="72" ht="14.25" hidden="1" customHeight="1">
      <c r="B72" s="76"/>
      <c r="C72" s="85"/>
      <c r="D72" s="84"/>
      <c r="E72" s="72"/>
      <c r="F72" s="74"/>
      <c r="G72" s="74"/>
      <c r="H72" s="75"/>
    </row>
    <row r="73" ht="14.25" hidden="1" customHeight="1">
      <c r="B73" s="76"/>
      <c r="C73" s="77"/>
      <c r="D73" s="84"/>
      <c r="E73" s="72"/>
      <c r="F73" s="89"/>
      <c r="G73" s="74"/>
      <c r="H73" s="75"/>
    </row>
    <row r="74" ht="14.25" hidden="1" customHeight="1">
      <c r="B74" s="80" t="s">
        <v>149</v>
      </c>
      <c r="C74" s="6"/>
      <c r="D74" s="84"/>
      <c r="E74" s="72"/>
      <c r="F74" s="74"/>
      <c r="G74" s="74" t="str">
        <f>SUM(G64:G73)</f>
        <v>  -   </v>
      </c>
      <c r="H74" s="82" t="str">
        <f>SUM(H64:H67)</f>
        <v>  -   </v>
      </c>
    </row>
    <row r="75" ht="14.25" hidden="1" customHeight="1">
      <c r="B75" s="72"/>
      <c r="C75" s="84"/>
      <c r="D75" s="84"/>
      <c r="E75" s="72"/>
      <c r="F75" s="74"/>
      <c r="G75" s="74"/>
      <c r="H75" s="75"/>
    </row>
    <row r="76" ht="14.25" customHeight="1">
      <c r="B76" s="80" t="s">
        <v>88</v>
      </c>
      <c r="C76" s="5"/>
      <c r="D76" s="5"/>
      <c r="E76" s="5"/>
      <c r="F76" s="6"/>
      <c r="G76" s="81" t="str">
        <f>G32+G51+G55</f>
        <v>  6,595,634 </v>
      </c>
      <c r="H76" s="81" t="str">
        <f>#REF!+H18+H62+H74</f>
        <v>#REF!</v>
      </c>
    </row>
    <row r="77" ht="14.25" customHeight="1">
      <c r="B77" s="71"/>
      <c r="G77" s="90"/>
      <c r="I77" s="38"/>
    </row>
    <row r="78" ht="14.25" customHeight="1">
      <c r="B78" s="24" t="s">
        <v>176</v>
      </c>
    </row>
    <row r="79" ht="14.25" customHeight="1">
      <c r="B79" s="71"/>
      <c r="G79" s="90"/>
      <c r="I79" s="71"/>
      <c r="J79" s="71"/>
      <c r="K79" s="90"/>
    </row>
    <row r="80" ht="14.25" customHeight="1"/>
    <row r="81" ht="14.25" customHeight="1"/>
    <row r="82" ht="14.25" customHeight="1">
      <c r="A82">
        <v>2.3</v>
      </c>
      <c r="B82" s="25" t="s">
        <v>177</v>
      </c>
    </row>
    <row r="83" ht="14.25" customHeight="1"/>
    <row r="84" ht="14.25" customHeight="1">
      <c r="B84" s="91" t="s">
        <v>82</v>
      </c>
      <c r="C84" s="92" t="s">
        <v>83</v>
      </c>
      <c r="D84" s="92" t="s">
        <v>134</v>
      </c>
      <c r="E84" s="92" t="s">
        <v>135</v>
      </c>
      <c r="F84" s="92" t="s">
        <v>84</v>
      </c>
    </row>
    <row r="85" ht="14.25" customHeight="1">
      <c r="B85" s="93"/>
      <c r="C85" s="94"/>
      <c r="D85" s="93"/>
      <c r="E85" s="95"/>
      <c r="F85" s="96"/>
    </row>
    <row r="86" ht="14.25" customHeight="1">
      <c r="B86" s="93"/>
      <c r="C86" s="94"/>
      <c r="D86" s="93"/>
      <c r="E86" s="95"/>
      <c r="F86" s="96"/>
    </row>
    <row r="87" ht="14.25" customHeight="1">
      <c r="B87" s="93"/>
      <c r="C87" s="94"/>
      <c r="D87" s="93"/>
      <c r="E87" s="95"/>
      <c r="F87" s="96"/>
    </row>
    <row r="88" ht="14.25" customHeight="1">
      <c r="B88" s="93"/>
      <c r="C88" s="94"/>
      <c r="D88" s="93"/>
      <c r="E88" s="95"/>
      <c r="F88" s="96"/>
    </row>
    <row r="89" ht="14.25" customHeight="1">
      <c r="B89" s="93"/>
      <c r="C89" s="94"/>
      <c r="D89" s="93"/>
      <c r="E89" s="95"/>
      <c r="F89" s="96"/>
    </row>
    <row r="90" ht="14.25" customHeight="1">
      <c r="B90" s="93"/>
      <c r="C90" s="94"/>
      <c r="D90" s="93"/>
      <c r="E90" s="95"/>
      <c r="F90" s="96"/>
    </row>
    <row r="91" ht="14.25" customHeight="1">
      <c r="B91" s="97" t="s">
        <v>88</v>
      </c>
      <c r="C91" s="5"/>
      <c r="D91" s="5"/>
      <c r="E91" s="6"/>
      <c r="F91" s="98" t="str">
        <f>SUM(F85:F90)</f>
        <v>  -   </v>
      </c>
    </row>
    <row r="92" ht="14.25" customHeight="1"/>
    <row r="93" ht="14.25" customHeight="1">
      <c r="A93" s="24" t="s">
        <v>178</v>
      </c>
    </row>
    <row r="94" ht="14.25" customHeight="1"/>
    <row r="95" ht="14.25" customHeight="1"/>
    <row r="96" ht="14.25" customHeight="1">
      <c r="A96">
        <v>2.4</v>
      </c>
      <c r="B96" s="25" t="s">
        <v>179</v>
      </c>
    </row>
    <row r="97" ht="14.25" customHeight="1"/>
    <row r="98" ht="14.25" customHeight="1">
      <c r="B98" s="91" t="s">
        <v>82</v>
      </c>
      <c r="C98" s="92" t="s">
        <v>83</v>
      </c>
      <c r="D98" s="92" t="s">
        <v>134</v>
      </c>
      <c r="E98" s="92" t="s">
        <v>135</v>
      </c>
      <c r="F98" s="92" t="s">
        <v>84</v>
      </c>
    </row>
    <row r="99" ht="14.25" customHeight="1">
      <c r="B99" s="93"/>
      <c r="C99" s="94"/>
      <c r="D99" s="93"/>
      <c r="E99" s="95"/>
      <c r="F99" s="96"/>
    </row>
    <row r="100" ht="14.25" customHeight="1">
      <c r="B100" s="93"/>
      <c r="C100" s="94"/>
      <c r="D100" s="93"/>
      <c r="E100" s="95"/>
      <c r="F100" s="96"/>
    </row>
    <row r="101" ht="14.25" customHeight="1">
      <c r="B101" s="93"/>
      <c r="C101" s="94"/>
      <c r="D101" s="93"/>
      <c r="E101" s="95"/>
      <c r="F101" s="96"/>
    </row>
    <row r="102" ht="14.25" customHeight="1">
      <c r="B102" s="93"/>
      <c r="C102" s="94"/>
      <c r="D102" s="93"/>
      <c r="E102" s="95"/>
      <c r="F102" s="96"/>
    </row>
    <row r="103" ht="14.25" customHeight="1">
      <c r="B103" s="93"/>
      <c r="C103" s="94"/>
      <c r="D103" s="93"/>
      <c r="E103" s="95"/>
      <c r="F103" s="96"/>
    </row>
    <row r="104" ht="14.25" customHeight="1">
      <c r="B104" s="93"/>
      <c r="C104" s="94"/>
      <c r="D104" s="93"/>
      <c r="E104" s="95"/>
      <c r="F104" s="96"/>
    </row>
    <row r="105" ht="14.25" customHeight="1">
      <c r="B105" s="93"/>
      <c r="C105" s="94"/>
      <c r="D105" s="93"/>
      <c r="E105" s="95"/>
      <c r="F105" s="96"/>
    </row>
    <row r="106" ht="14.25" customHeight="1">
      <c r="B106" s="93"/>
      <c r="C106" s="94"/>
      <c r="D106" s="93"/>
      <c r="E106" s="95"/>
      <c r="F106" s="96"/>
    </row>
    <row r="107" ht="14.25" customHeight="1">
      <c r="B107" s="93"/>
      <c r="C107" s="94"/>
      <c r="D107" s="93"/>
      <c r="E107" s="95"/>
      <c r="F107" s="96"/>
    </row>
    <row r="108" ht="14.25" customHeight="1">
      <c r="B108" s="93"/>
      <c r="C108" s="94"/>
      <c r="D108" s="93"/>
      <c r="E108" s="95"/>
      <c r="F108" s="96"/>
    </row>
    <row r="109" ht="14.25" customHeight="1">
      <c r="B109" s="93"/>
      <c r="C109" s="94"/>
      <c r="D109" s="93"/>
      <c r="E109" s="95"/>
      <c r="F109" s="96"/>
    </row>
    <row r="110" ht="14.25" customHeight="1">
      <c r="B110" s="93"/>
      <c r="C110" s="94"/>
      <c r="D110" s="93"/>
      <c r="E110" s="95"/>
      <c r="F110" s="96"/>
    </row>
    <row r="111" ht="14.25" customHeight="1">
      <c r="B111" s="93"/>
      <c r="C111" s="94"/>
      <c r="D111" s="93"/>
      <c r="E111" s="95"/>
      <c r="F111" s="96"/>
    </row>
    <row r="112" ht="14.25" customHeight="1">
      <c r="B112" s="93"/>
      <c r="C112" s="94"/>
      <c r="D112" s="93"/>
      <c r="E112" s="95"/>
      <c r="F112" s="96"/>
    </row>
    <row r="113" ht="14.25" customHeight="1">
      <c r="B113" s="93"/>
      <c r="C113" s="94"/>
      <c r="D113" s="93"/>
      <c r="E113" s="95"/>
      <c r="F113" s="96"/>
    </row>
    <row r="114" ht="14.25" customHeight="1">
      <c r="B114" s="93"/>
      <c r="C114" s="94"/>
      <c r="D114" s="93"/>
      <c r="E114" s="95"/>
      <c r="F114" s="96"/>
    </row>
    <row r="115" ht="14.25" customHeight="1">
      <c r="B115" s="93">
        <v>17.0</v>
      </c>
      <c r="C115" s="94"/>
      <c r="D115" s="93"/>
      <c r="E115" s="95"/>
      <c r="F115" s="96"/>
    </row>
    <row r="116" ht="14.25" customHeight="1">
      <c r="B116" s="93">
        <v>18.0</v>
      </c>
      <c r="C116" s="94"/>
      <c r="D116" s="93"/>
      <c r="E116" s="95"/>
      <c r="F116" s="96"/>
    </row>
    <row r="117" ht="14.25" customHeight="1">
      <c r="B117" s="93">
        <v>19.0</v>
      </c>
      <c r="C117" s="94"/>
      <c r="D117" s="93"/>
      <c r="E117" s="95"/>
      <c r="F117" s="96"/>
    </row>
    <row r="118" ht="12.0" customHeight="1">
      <c r="B118" s="93">
        <v>20.0</v>
      </c>
      <c r="C118" s="94"/>
      <c r="D118" s="93"/>
      <c r="E118" s="95"/>
      <c r="F118" s="96"/>
    </row>
    <row r="119" ht="14.25" customHeight="1">
      <c r="B119" s="93">
        <v>21.0</v>
      </c>
      <c r="C119" s="94"/>
      <c r="D119" s="93"/>
      <c r="E119" s="95"/>
      <c r="F119" s="96"/>
    </row>
    <row r="120" ht="14.25" customHeight="1">
      <c r="B120" s="93">
        <v>22.0</v>
      </c>
      <c r="C120" s="94"/>
      <c r="D120" s="93"/>
      <c r="E120" s="95"/>
      <c r="F120" s="96"/>
    </row>
    <row r="121" ht="14.25" customHeight="1">
      <c r="B121" s="93">
        <v>23.0</v>
      </c>
      <c r="C121" s="94"/>
      <c r="D121" s="93"/>
      <c r="E121" s="95"/>
      <c r="F121" s="96"/>
    </row>
    <row r="122" ht="14.25" customHeight="1">
      <c r="B122" s="93">
        <v>24.0</v>
      </c>
      <c r="C122" s="94"/>
      <c r="D122" s="93"/>
      <c r="E122" s="95"/>
      <c r="F122" s="96"/>
    </row>
    <row r="123" ht="14.25" customHeight="1">
      <c r="B123" s="93">
        <v>25.0</v>
      </c>
      <c r="C123" s="94"/>
      <c r="D123" s="93"/>
      <c r="E123" s="95"/>
      <c r="F123" s="96"/>
    </row>
    <row r="124" ht="14.25" customHeight="1">
      <c r="B124" s="93">
        <v>26.0</v>
      </c>
      <c r="C124" s="94"/>
      <c r="D124" s="93"/>
      <c r="E124" s="95"/>
      <c r="F124" s="96"/>
    </row>
    <row r="125" ht="14.25" customHeight="1">
      <c r="B125" s="97" t="s">
        <v>88</v>
      </c>
      <c r="C125" s="5"/>
      <c r="D125" s="5"/>
      <c r="E125" s="6"/>
      <c r="F125" s="98" t="str">
        <f>SUM(F99:F124)</f>
        <v>  -   </v>
      </c>
    </row>
    <row r="126" ht="14.25" customHeight="1"/>
    <row r="127" ht="14.25" customHeight="1">
      <c r="A127" s="24" t="s">
        <v>178</v>
      </c>
    </row>
    <row r="128" ht="14.25" customHeight="1"/>
    <row r="129" ht="14.25" customHeight="1"/>
    <row r="130" ht="14.25" customHeight="1">
      <c r="A130">
        <v>2.5</v>
      </c>
      <c r="B130" s="25" t="s">
        <v>180</v>
      </c>
    </row>
    <row r="131" ht="14.25" customHeight="1"/>
    <row r="132" ht="14.25" customHeight="1">
      <c r="B132" s="99" t="s">
        <v>82</v>
      </c>
      <c r="C132" s="58" t="s">
        <v>83</v>
      </c>
      <c r="D132" s="58" t="s">
        <v>134</v>
      </c>
      <c r="E132" s="58" t="s">
        <v>135</v>
      </c>
      <c r="F132" s="58" t="s">
        <v>84</v>
      </c>
    </row>
    <row r="133" ht="14.25" customHeight="1">
      <c r="B133" s="100"/>
      <c r="C133" s="101"/>
      <c r="D133" s="100"/>
      <c r="E133" s="102"/>
      <c r="F133" s="82"/>
    </row>
    <row r="134" ht="14.25" customHeight="1">
      <c r="B134" s="100"/>
      <c r="C134" s="101"/>
      <c r="D134" s="100"/>
      <c r="E134" s="102"/>
      <c r="F134" s="82"/>
    </row>
    <row r="135" ht="14.25" customHeight="1">
      <c r="B135" s="100"/>
      <c r="C135" s="101"/>
      <c r="D135" s="100"/>
      <c r="E135" s="102"/>
      <c r="F135" s="82"/>
    </row>
    <row r="136" ht="14.25" customHeight="1">
      <c r="B136" s="100"/>
      <c r="C136" s="101"/>
      <c r="D136" s="100"/>
      <c r="E136" s="102"/>
      <c r="F136" s="82"/>
    </row>
    <row r="137" ht="14.25" customHeight="1">
      <c r="B137" s="100"/>
      <c r="C137" s="101"/>
      <c r="D137" s="100"/>
      <c r="E137" s="102"/>
      <c r="F137" s="82"/>
    </row>
    <row r="138" ht="14.25" customHeight="1">
      <c r="B138" s="103"/>
      <c r="C138" s="6"/>
      <c r="D138" s="104"/>
      <c r="E138" s="105"/>
      <c r="F138" s="87"/>
    </row>
    <row r="139" ht="14.25" customHeight="1">
      <c r="B139" s="100"/>
      <c r="C139" s="101"/>
      <c r="D139" s="100"/>
      <c r="E139" s="102"/>
      <c r="F139" s="82"/>
    </row>
    <row r="140" ht="14.25" customHeight="1">
      <c r="B140" s="100"/>
      <c r="C140" s="101"/>
      <c r="D140" s="100"/>
      <c r="E140" s="102"/>
      <c r="F140" s="82"/>
    </row>
    <row r="141" ht="14.25" customHeight="1">
      <c r="B141" s="100"/>
      <c r="C141" s="101"/>
      <c r="D141" s="100"/>
      <c r="E141" s="102"/>
      <c r="F141" s="82"/>
    </row>
    <row r="142" ht="14.25" customHeight="1">
      <c r="B142" s="100"/>
      <c r="C142" s="101"/>
      <c r="D142" s="100"/>
      <c r="E142" s="102"/>
      <c r="F142" s="82"/>
    </row>
    <row r="143" ht="14.25" customHeight="1">
      <c r="B143" s="100"/>
      <c r="C143" s="101"/>
      <c r="D143" s="100"/>
      <c r="E143" s="102"/>
      <c r="F143" s="82"/>
    </row>
    <row r="144" ht="14.25" customHeight="1">
      <c r="B144" s="100"/>
      <c r="C144" s="101"/>
      <c r="D144" s="100"/>
      <c r="E144" s="102"/>
      <c r="F144" s="82"/>
    </row>
    <row r="145" ht="14.25" customHeight="1">
      <c r="B145" s="103"/>
      <c r="C145" s="6"/>
      <c r="D145" s="104"/>
      <c r="E145" s="105"/>
      <c r="F145" s="87"/>
    </row>
    <row r="146" ht="14.25" customHeight="1">
      <c r="B146" s="100"/>
      <c r="C146" s="101"/>
      <c r="D146" s="100"/>
      <c r="E146" s="102"/>
      <c r="F146" s="82"/>
    </row>
    <row r="147" ht="14.25" customHeight="1">
      <c r="B147" s="100"/>
      <c r="C147" s="101"/>
      <c r="D147" s="100"/>
      <c r="E147" s="102"/>
      <c r="F147" s="82"/>
    </row>
    <row r="148" ht="14.25" customHeight="1">
      <c r="B148" s="100"/>
      <c r="C148" s="101"/>
      <c r="D148" s="100"/>
      <c r="E148" s="102"/>
      <c r="F148" s="82"/>
    </row>
    <row r="149" ht="14.25" customHeight="1">
      <c r="B149" s="100"/>
      <c r="C149" s="101"/>
      <c r="D149" s="100"/>
      <c r="E149" s="102"/>
      <c r="F149" s="82"/>
    </row>
    <row r="150" ht="14.25" customHeight="1">
      <c r="B150" s="100"/>
      <c r="C150" s="101"/>
      <c r="D150" s="100"/>
      <c r="E150" s="102"/>
      <c r="F150" s="82"/>
    </row>
    <row r="151" ht="14.25" customHeight="1">
      <c r="B151" s="100"/>
      <c r="C151" s="101"/>
      <c r="D151" s="100"/>
      <c r="E151" s="102"/>
      <c r="F151" s="82"/>
    </row>
    <row r="152" ht="14.25" customHeight="1">
      <c r="B152" s="100"/>
      <c r="C152" s="101"/>
      <c r="D152" s="100"/>
      <c r="E152" s="102"/>
      <c r="F152" s="82"/>
    </row>
    <row r="153" ht="14.25" customHeight="1">
      <c r="B153" s="80" t="s">
        <v>88</v>
      </c>
      <c r="C153" s="5"/>
      <c r="D153" s="5"/>
      <c r="E153" s="6"/>
      <c r="F153" s="81" t="str">
        <f>F133</f>
        <v/>
      </c>
    </row>
    <row r="154" ht="14.25" customHeight="1">
      <c r="A154" s="106" t="s">
        <v>181</v>
      </c>
      <c r="B154" s="107"/>
      <c r="C154" s="107"/>
      <c r="D154" s="107"/>
      <c r="E154" s="107"/>
      <c r="F154" s="107"/>
      <c r="G154" s="108"/>
    </row>
    <row r="155" ht="14.25" customHeight="1"/>
    <row r="156" ht="14.25" customHeight="1"/>
    <row r="157" ht="14.25" customHeight="1">
      <c r="A157">
        <v>2.6</v>
      </c>
      <c r="B157" s="25" t="s">
        <v>182</v>
      </c>
    </row>
    <row r="158" ht="14.25" customHeight="1"/>
    <row r="159" ht="14.25" customHeight="1">
      <c r="B159" s="99" t="s">
        <v>82</v>
      </c>
      <c r="C159" s="58" t="s">
        <v>83</v>
      </c>
      <c r="D159" s="58" t="s">
        <v>183</v>
      </c>
    </row>
    <row r="160" ht="14.25" customHeight="1">
      <c r="B160" s="109">
        <v>1.0</v>
      </c>
      <c r="C160" s="84" t="s">
        <v>184</v>
      </c>
      <c r="D160" s="74">
        <v>100000.0</v>
      </c>
    </row>
    <row r="161" ht="14.25" customHeight="1">
      <c r="B161" s="109">
        <v>2.0</v>
      </c>
      <c r="C161" s="84" t="s">
        <v>185</v>
      </c>
      <c r="D161" s="74">
        <v>85000.0</v>
      </c>
    </row>
    <row r="162" ht="14.25" customHeight="1">
      <c r="B162" s="109">
        <v>3.0</v>
      </c>
      <c r="C162" s="84" t="s">
        <v>186</v>
      </c>
      <c r="D162" s="74">
        <v>67600.0</v>
      </c>
    </row>
    <row r="163" ht="14.25" customHeight="1">
      <c r="B163" s="109">
        <v>4.0</v>
      </c>
      <c r="C163" s="84" t="s">
        <v>187</v>
      </c>
      <c r="D163" s="74" t="str">
        <f>G9*2%</f>
        <v>  496,046 </v>
      </c>
    </row>
    <row r="164" ht="14.25" customHeight="1">
      <c r="B164" s="80" t="s">
        <v>88</v>
      </c>
      <c r="C164" s="6"/>
      <c r="D164" s="81" t="str">
        <f>SUM(D160:D163)</f>
        <v>  748,646 </v>
      </c>
    </row>
    <row r="165" ht="14.25" customHeight="1"/>
    <row r="166" ht="43.5" customHeight="1">
      <c r="A166" s="110" t="s">
        <v>188</v>
      </c>
    </row>
  </sheetData>
  <mergeCells count="25">
    <mergeCell ref="B153:E153"/>
    <mergeCell ref="B145:C145"/>
    <mergeCell ref="B164:C164"/>
    <mergeCell ref="A166:E166"/>
    <mergeCell ref="A127:G127"/>
    <mergeCell ref="B130:F130"/>
    <mergeCell ref="A154:G154"/>
    <mergeCell ref="B157:D157"/>
    <mergeCell ref="B125:E125"/>
    <mergeCell ref="B138:C138"/>
    <mergeCell ref="B82:F82"/>
    <mergeCell ref="B78:H78"/>
    <mergeCell ref="B12:G12"/>
    <mergeCell ref="B14:H14"/>
    <mergeCell ref="B74:C74"/>
    <mergeCell ref="B62:C62"/>
    <mergeCell ref="B51:C51"/>
    <mergeCell ref="C55:D55"/>
    <mergeCell ref="B91:E91"/>
    <mergeCell ref="A93:G93"/>
    <mergeCell ref="B96:F96"/>
    <mergeCell ref="B9:F9"/>
    <mergeCell ref="B2:G2"/>
    <mergeCell ref="B76:F76"/>
    <mergeCell ref="B32:C32"/>
  </mergeCells>
  <printOptions/>
  <pageMargins bottom="0.75" footer="0.0" header="0.0" left="0.7" right="0.7" top="0.75"/>
  <pageSetup scale="75"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5.86"/>
    <col customWidth="1" min="2" max="2" width="14.57"/>
    <col customWidth="1" min="3" max="9" width="11.86"/>
    <col customWidth="1" min="10" max="10" width="14.71"/>
    <col customWidth="1" min="11" max="17" width="11.86"/>
  </cols>
  <sheetData>
    <row r="1" ht="14.25" customHeight="1"/>
    <row r="2" ht="14.25" customHeight="1">
      <c r="A2" s="25" t="s">
        <v>189</v>
      </c>
    </row>
    <row r="3" ht="14.25" customHeight="1"/>
    <row r="4" ht="14.25" customHeight="1">
      <c r="A4" s="111"/>
      <c r="B4" s="111"/>
      <c r="C4" s="111"/>
      <c r="D4" s="111"/>
      <c r="E4" s="112">
        <v>1.0</v>
      </c>
      <c r="F4" s="113" t="str">
        <f t="shared" ref="F4:K4" si="1">(E4*5%)+E4</f>
        <v>105.00%</v>
      </c>
      <c r="G4" s="113" t="str">
        <f t="shared" si="1"/>
        <v>110.25%</v>
      </c>
      <c r="H4" s="113" t="str">
        <f t="shared" si="1"/>
        <v>115.76%</v>
      </c>
      <c r="I4" s="113" t="str">
        <f t="shared" si="1"/>
        <v>121.55%</v>
      </c>
      <c r="J4" s="113" t="str">
        <f t="shared" si="1"/>
        <v>127.63%</v>
      </c>
      <c r="K4" s="113" t="str">
        <f t="shared" si="1"/>
        <v>134.01%</v>
      </c>
    </row>
    <row r="5" ht="14.25" customHeight="1">
      <c r="A5" s="111"/>
      <c r="B5" s="111"/>
      <c r="C5" s="111"/>
      <c r="D5" s="111"/>
      <c r="E5" s="111"/>
      <c r="F5" s="111"/>
      <c r="G5" s="111"/>
      <c r="H5" s="111"/>
      <c r="I5" s="111"/>
      <c r="J5" s="111"/>
      <c r="K5" s="111"/>
    </row>
    <row r="6" ht="14.25" customHeight="1">
      <c r="A6" s="114" t="s">
        <v>190</v>
      </c>
      <c r="B6" s="114" t="s">
        <v>121</v>
      </c>
      <c r="C6" s="114" t="s">
        <v>191</v>
      </c>
      <c r="D6" s="114" t="s">
        <v>192</v>
      </c>
      <c r="E6" s="115" t="s">
        <v>193</v>
      </c>
      <c r="F6" s="115" t="s">
        <v>194</v>
      </c>
      <c r="G6" s="115" t="s">
        <v>195</v>
      </c>
      <c r="H6" s="115" t="s">
        <v>196</v>
      </c>
      <c r="I6" s="115" t="s">
        <v>197</v>
      </c>
      <c r="J6" s="115" t="s">
        <v>198</v>
      </c>
      <c r="K6" s="115" t="s">
        <v>199</v>
      </c>
    </row>
    <row r="7" ht="14.25" customHeight="1">
      <c r="A7" s="73"/>
      <c r="B7" s="73"/>
      <c r="C7" s="73"/>
      <c r="D7" s="73"/>
      <c r="E7" s="73"/>
      <c r="F7" s="73"/>
      <c r="G7" s="73"/>
      <c r="H7" s="73"/>
      <c r="I7" s="73"/>
      <c r="J7" s="73"/>
      <c r="K7" s="73"/>
    </row>
    <row r="8" ht="14.25" customHeight="1">
      <c r="A8" s="73" t="s">
        <v>200</v>
      </c>
      <c r="B8" s="73" t="s">
        <v>201</v>
      </c>
      <c r="C8" s="73">
        <v>1.0</v>
      </c>
      <c r="D8" s="116">
        <v>20000.0</v>
      </c>
      <c r="E8" s="116" t="str">
        <f t="shared" ref="E8:K8" si="2">$C8*$D8*12*E$4</f>
        <v>  240,000 </v>
      </c>
      <c r="F8" s="116" t="str">
        <f t="shared" si="2"/>
        <v>  252,000 </v>
      </c>
      <c r="G8" s="116" t="str">
        <f t="shared" si="2"/>
        <v>  264,600 </v>
      </c>
      <c r="H8" s="116" t="str">
        <f t="shared" si="2"/>
        <v>  277,830 </v>
      </c>
      <c r="I8" s="116" t="str">
        <f t="shared" si="2"/>
        <v>  291,722 </v>
      </c>
      <c r="J8" s="116" t="str">
        <f t="shared" si="2"/>
        <v>  306,308 </v>
      </c>
      <c r="K8" s="116" t="str">
        <f t="shared" si="2"/>
        <v>  321,623 </v>
      </c>
    </row>
    <row r="9" ht="14.25" customHeight="1">
      <c r="A9" s="73" t="s">
        <v>202</v>
      </c>
      <c r="B9" s="73" t="s">
        <v>201</v>
      </c>
      <c r="C9" s="73">
        <v>1.0</v>
      </c>
      <c r="D9" s="116">
        <v>15000.0</v>
      </c>
      <c r="E9" s="116" t="str">
        <f t="shared" ref="E9:K9" si="3">$C9*$D9*12*E$4</f>
        <v>  180,000 </v>
      </c>
      <c r="F9" s="116" t="str">
        <f t="shared" si="3"/>
        <v>  189,000 </v>
      </c>
      <c r="G9" s="116" t="str">
        <f t="shared" si="3"/>
        <v>  198,450 </v>
      </c>
      <c r="H9" s="116" t="str">
        <f t="shared" si="3"/>
        <v>  208,373 </v>
      </c>
      <c r="I9" s="116" t="str">
        <f t="shared" si="3"/>
        <v>  218,791 </v>
      </c>
      <c r="J9" s="116" t="str">
        <f t="shared" si="3"/>
        <v>  229,731 </v>
      </c>
      <c r="K9" s="116" t="str">
        <f t="shared" si="3"/>
        <v>  241,217 </v>
      </c>
    </row>
    <row r="10" ht="14.25" customHeight="1">
      <c r="A10" s="73" t="s">
        <v>203</v>
      </c>
      <c r="B10" s="73" t="s">
        <v>201</v>
      </c>
      <c r="C10" s="73">
        <v>2.0</v>
      </c>
      <c r="D10" s="116">
        <v>8000.0</v>
      </c>
      <c r="E10" s="116" t="str">
        <f t="shared" ref="E10:K10" si="4">$C10*$D10*12*E$4</f>
        <v>  192,000 </v>
      </c>
      <c r="F10" s="116" t="str">
        <f t="shared" si="4"/>
        <v>  201,600 </v>
      </c>
      <c r="G10" s="116" t="str">
        <f t="shared" si="4"/>
        <v>  211,680 </v>
      </c>
      <c r="H10" s="116" t="str">
        <f t="shared" si="4"/>
        <v>  222,264 </v>
      </c>
      <c r="I10" s="116" t="str">
        <f t="shared" si="4"/>
        <v>  233,377 </v>
      </c>
      <c r="J10" s="116" t="str">
        <f t="shared" si="4"/>
        <v>  245,046 </v>
      </c>
      <c r="K10" s="116" t="str">
        <f t="shared" si="4"/>
        <v>  257,298 </v>
      </c>
    </row>
    <row r="11" ht="14.25" customHeight="1">
      <c r="A11" s="73" t="s">
        <v>204</v>
      </c>
      <c r="B11" s="73" t="s">
        <v>205</v>
      </c>
      <c r="C11" s="73">
        <v>12.0</v>
      </c>
      <c r="D11" s="116">
        <v>1000.0</v>
      </c>
      <c r="E11" s="116" t="str">
        <f t="shared" ref="E11:K11" si="5">$C11*$D11*E$4</f>
        <v>  12,000 </v>
      </c>
      <c r="F11" s="116" t="str">
        <f t="shared" si="5"/>
        <v>  12,600 </v>
      </c>
      <c r="G11" s="116" t="str">
        <f t="shared" si="5"/>
        <v>  13,230 </v>
      </c>
      <c r="H11" s="116" t="str">
        <f t="shared" si="5"/>
        <v>  13,892 </v>
      </c>
      <c r="I11" s="116" t="str">
        <f t="shared" si="5"/>
        <v>  14,586 </v>
      </c>
      <c r="J11" s="116" t="str">
        <f t="shared" si="5"/>
        <v>  15,315 </v>
      </c>
      <c r="K11" s="116" t="str">
        <f t="shared" si="5"/>
        <v>  16,081 </v>
      </c>
    </row>
    <row r="12" ht="14.25" customHeight="1">
      <c r="A12" s="73" t="s">
        <v>206</v>
      </c>
      <c r="B12" s="73" t="s">
        <v>205</v>
      </c>
      <c r="C12" s="73">
        <v>12.0</v>
      </c>
      <c r="D12" s="116">
        <v>2000.0</v>
      </c>
      <c r="E12" s="116" t="str">
        <f t="shared" ref="E12:K12" si="6">$C12*$D12*E$4</f>
        <v>  24,000 </v>
      </c>
      <c r="F12" s="116" t="str">
        <f t="shared" si="6"/>
        <v>  25,200 </v>
      </c>
      <c r="G12" s="116" t="str">
        <f t="shared" si="6"/>
        <v>  26,460 </v>
      </c>
      <c r="H12" s="116" t="str">
        <f t="shared" si="6"/>
        <v>  27,783 </v>
      </c>
      <c r="I12" s="116" t="str">
        <f t="shared" si="6"/>
        <v>  29,172 </v>
      </c>
      <c r="J12" s="116" t="str">
        <f t="shared" si="6"/>
        <v>  30,631 </v>
      </c>
      <c r="K12" s="116" t="str">
        <f t="shared" si="6"/>
        <v>  32,162 </v>
      </c>
    </row>
    <row r="13" ht="14.25" customHeight="1">
      <c r="A13" s="73" t="s">
        <v>207</v>
      </c>
      <c r="B13" s="73" t="s">
        <v>205</v>
      </c>
      <c r="C13" s="73">
        <v>12.0</v>
      </c>
      <c r="D13" s="116">
        <v>2000.0</v>
      </c>
      <c r="E13" s="116" t="str">
        <f t="shared" ref="E13:K13" si="7">$C13*$D13*E$4</f>
        <v>  24,000 </v>
      </c>
      <c r="F13" s="116" t="str">
        <f t="shared" si="7"/>
        <v>  25,200 </v>
      </c>
      <c r="G13" s="116" t="str">
        <f t="shared" si="7"/>
        <v>  26,460 </v>
      </c>
      <c r="H13" s="116" t="str">
        <f t="shared" si="7"/>
        <v>  27,783 </v>
      </c>
      <c r="I13" s="116" t="str">
        <f t="shared" si="7"/>
        <v>  29,172 </v>
      </c>
      <c r="J13" s="116" t="str">
        <f t="shared" si="7"/>
        <v>  30,631 </v>
      </c>
      <c r="K13" s="116" t="str">
        <f t="shared" si="7"/>
        <v>  32,162 </v>
      </c>
    </row>
    <row r="14" ht="14.25" customHeight="1">
      <c r="A14" s="73" t="s">
        <v>208</v>
      </c>
      <c r="B14" s="73" t="s">
        <v>205</v>
      </c>
      <c r="C14" s="73">
        <v>12.0</v>
      </c>
      <c r="D14" s="116">
        <v>1000.0</v>
      </c>
      <c r="E14" s="116" t="str">
        <f t="shared" ref="E14:K14" si="8">$C14*$D14*E$4</f>
        <v>  12,000 </v>
      </c>
      <c r="F14" s="116" t="str">
        <f t="shared" si="8"/>
        <v>  12,600 </v>
      </c>
      <c r="G14" s="116" t="str">
        <f t="shared" si="8"/>
        <v>  13,230 </v>
      </c>
      <c r="H14" s="116" t="str">
        <f t="shared" si="8"/>
        <v>  13,892 </v>
      </c>
      <c r="I14" s="116" t="str">
        <f t="shared" si="8"/>
        <v>  14,586 </v>
      </c>
      <c r="J14" s="116" t="str">
        <f t="shared" si="8"/>
        <v>  15,315 </v>
      </c>
      <c r="K14" s="116" t="str">
        <f t="shared" si="8"/>
        <v>  16,081 </v>
      </c>
    </row>
    <row r="15" ht="14.25" customHeight="1">
      <c r="A15" s="73" t="s">
        <v>209</v>
      </c>
      <c r="B15" s="73" t="s">
        <v>205</v>
      </c>
      <c r="C15" s="73">
        <v>12.0</v>
      </c>
      <c r="D15" s="116">
        <v>5000.0</v>
      </c>
      <c r="E15" s="116" t="str">
        <f t="shared" ref="E15:K15" si="9">$C15*$D15*E$4</f>
        <v>  60,000 </v>
      </c>
      <c r="F15" s="116" t="str">
        <f t="shared" si="9"/>
        <v>  63,000 </v>
      </c>
      <c r="G15" s="116" t="str">
        <f t="shared" si="9"/>
        <v>  66,150 </v>
      </c>
      <c r="H15" s="116" t="str">
        <f t="shared" si="9"/>
        <v>  69,458 </v>
      </c>
      <c r="I15" s="116" t="str">
        <f t="shared" si="9"/>
        <v>  72,930 </v>
      </c>
      <c r="J15" s="116" t="str">
        <f t="shared" si="9"/>
        <v>  76,577 </v>
      </c>
      <c r="K15" s="116" t="str">
        <f t="shared" si="9"/>
        <v>  80,406 </v>
      </c>
    </row>
    <row r="16" ht="14.25" customHeight="1">
      <c r="A16" s="73" t="s">
        <v>210</v>
      </c>
      <c r="B16" s="73" t="s">
        <v>211</v>
      </c>
      <c r="C16" s="73">
        <v>1.0</v>
      </c>
      <c r="D16" s="116">
        <v>100000.0</v>
      </c>
      <c r="E16" s="116" t="str">
        <f t="shared" ref="E16:K16" si="10">$D16*E$4*$C16</f>
        <v>  100,000 </v>
      </c>
      <c r="F16" s="116" t="str">
        <f t="shared" si="10"/>
        <v>  105,000 </v>
      </c>
      <c r="G16" s="116" t="str">
        <f t="shared" si="10"/>
        <v>  110,250 </v>
      </c>
      <c r="H16" s="116" t="str">
        <f t="shared" si="10"/>
        <v>  115,763 </v>
      </c>
      <c r="I16" s="116" t="str">
        <f t="shared" si="10"/>
        <v>  121,551 </v>
      </c>
      <c r="J16" s="116" t="str">
        <f t="shared" si="10"/>
        <v>  127,628 </v>
      </c>
      <c r="K16" s="116" t="str">
        <f t="shared" si="10"/>
        <v>  134,010 </v>
      </c>
    </row>
    <row r="17" ht="14.25" customHeight="1">
      <c r="A17" s="73"/>
      <c r="B17" s="73"/>
      <c r="C17" s="73"/>
      <c r="D17" s="116"/>
      <c r="E17" s="116" t="str">
        <f t="shared" ref="E17:K17" si="11">$D17*E$4*$C17</f>
        <v>  -   </v>
      </c>
      <c r="F17" s="116" t="str">
        <f t="shared" si="11"/>
        <v>  -   </v>
      </c>
      <c r="G17" s="116" t="str">
        <f t="shared" si="11"/>
        <v>  -   </v>
      </c>
      <c r="H17" s="116" t="str">
        <f t="shared" si="11"/>
        <v>  -   </v>
      </c>
      <c r="I17" s="116" t="str">
        <f t="shared" si="11"/>
        <v>  -   </v>
      </c>
      <c r="J17" s="116" t="str">
        <f t="shared" si="11"/>
        <v>  -   </v>
      </c>
      <c r="K17" s="116" t="str">
        <f t="shared" si="11"/>
        <v>  -   </v>
      </c>
    </row>
    <row r="18" ht="14.25" customHeight="1">
      <c r="A18" s="73"/>
      <c r="B18" s="73"/>
      <c r="C18" s="73"/>
      <c r="D18" s="116"/>
      <c r="E18" s="116" t="str">
        <f t="shared" ref="E18:K18" si="12">$D18*E$4*$C18</f>
        <v>  -   </v>
      </c>
      <c r="F18" s="116" t="str">
        <f t="shared" si="12"/>
        <v>  -   </v>
      </c>
      <c r="G18" s="116" t="str">
        <f t="shared" si="12"/>
        <v>  -   </v>
      </c>
      <c r="H18" s="116" t="str">
        <f t="shared" si="12"/>
        <v>  -   </v>
      </c>
      <c r="I18" s="116" t="str">
        <f t="shared" si="12"/>
        <v>  -   </v>
      </c>
      <c r="J18" s="116" t="str">
        <f t="shared" si="12"/>
        <v>  -   </v>
      </c>
      <c r="K18" s="116" t="str">
        <f t="shared" si="12"/>
        <v>  -   </v>
      </c>
    </row>
    <row r="19" ht="14.25" customHeight="1">
      <c r="A19" s="73"/>
      <c r="B19" s="73"/>
      <c r="C19" s="73"/>
      <c r="D19" s="116"/>
      <c r="E19" s="116" t="str">
        <f t="shared" ref="E19:K19" si="13">$D19*E$4*$C19</f>
        <v>  -   </v>
      </c>
      <c r="F19" s="116" t="str">
        <f t="shared" si="13"/>
        <v>  -   </v>
      </c>
      <c r="G19" s="116" t="str">
        <f t="shared" si="13"/>
        <v>  -   </v>
      </c>
      <c r="H19" s="116" t="str">
        <f t="shared" si="13"/>
        <v>  -   </v>
      </c>
      <c r="I19" s="116" t="str">
        <f t="shared" si="13"/>
        <v>  -   </v>
      </c>
      <c r="J19" s="116" t="str">
        <f t="shared" si="13"/>
        <v>  -   </v>
      </c>
      <c r="K19" s="116" t="str">
        <f t="shared" si="13"/>
        <v>  -   </v>
      </c>
    </row>
    <row r="20" ht="14.25" customHeight="1">
      <c r="A20" s="73"/>
      <c r="B20" s="73"/>
      <c r="C20" s="73"/>
      <c r="D20" s="116"/>
      <c r="E20" s="116" t="str">
        <f t="shared" ref="E20:K20" si="14">$D20*E$4*$C20</f>
        <v>  -   </v>
      </c>
      <c r="F20" s="116" t="str">
        <f t="shared" si="14"/>
        <v>  -   </v>
      </c>
      <c r="G20" s="116" t="str">
        <f t="shared" si="14"/>
        <v>  -   </v>
      </c>
      <c r="H20" s="116" t="str">
        <f t="shared" si="14"/>
        <v>  -   </v>
      </c>
      <c r="I20" s="116" t="str">
        <f t="shared" si="14"/>
        <v>  -   </v>
      </c>
      <c r="J20" s="116" t="str">
        <f t="shared" si="14"/>
        <v>  -   </v>
      </c>
      <c r="K20" s="116" t="str">
        <f t="shared" si="14"/>
        <v>  -   </v>
      </c>
    </row>
    <row r="21" ht="14.25" customHeight="1">
      <c r="A21" s="73"/>
      <c r="B21" s="73"/>
      <c r="C21" s="73"/>
      <c r="D21" s="116"/>
      <c r="E21" s="116" t="str">
        <f t="shared" ref="E21:K21" si="15">$D21*E$4*$C21</f>
        <v>  -   </v>
      </c>
      <c r="F21" s="116" t="str">
        <f t="shared" si="15"/>
        <v>  -   </v>
      </c>
      <c r="G21" s="116" t="str">
        <f t="shared" si="15"/>
        <v>  -   </v>
      </c>
      <c r="H21" s="116" t="str">
        <f t="shared" si="15"/>
        <v>  -   </v>
      </c>
      <c r="I21" s="116" t="str">
        <f t="shared" si="15"/>
        <v>  -   </v>
      </c>
      <c r="J21" s="116" t="str">
        <f t="shared" si="15"/>
        <v>  -   </v>
      </c>
      <c r="K21" s="116" t="str">
        <f t="shared" si="15"/>
        <v>  -   </v>
      </c>
    </row>
    <row r="22" ht="14.25" customHeight="1">
      <c r="A22" s="73"/>
      <c r="B22" s="73"/>
      <c r="C22" s="73"/>
      <c r="D22" s="116"/>
      <c r="E22" s="116" t="str">
        <f t="shared" ref="E22:K22" si="16">$D22*E$4*$C22</f>
        <v>  -   </v>
      </c>
      <c r="F22" s="116" t="str">
        <f t="shared" si="16"/>
        <v>  -   </v>
      </c>
      <c r="G22" s="116" t="str">
        <f t="shared" si="16"/>
        <v>  -   </v>
      </c>
      <c r="H22" s="116" t="str">
        <f t="shared" si="16"/>
        <v>  -   </v>
      </c>
      <c r="I22" s="116" t="str">
        <f t="shared" si="16"/>
        <v>  -   </v>
      </c>
      <c r="J22" s="116" t="str">
        <f t="shared" si="16"/>
        <v>  -   </v>
      </c>
      <c r="K22" s="116" t="str">
        <f t="shared" si="16"/>
        <v>  -   </v>
      </c>
    </row>
    <row r="23" ht="14.25" customHeight="1">
      <c r="A23" s="117" t="s">
        <v>212</v>
      </c>
      <c r="B23" s="117"/>
      <c r="C23" s="117"/>
      <c r="D23" s="118"/>
      <c r="E23" s="118" t="str">
        <f t="shared" ref="E23:K23" si="17">SUM(E8:E22)</f>
        <v>  844,000 </v>
      </c>
      <c r="F23" s="118" t="str">
        <f t="shared" si="17"/>
        <v>  886,200 </v>
      </c>
      <c r="G23" s="118" t="str">
        <f t="shared" si="17"/>
        <v>  930,510 </v>
      </c>
      <c r="H23" s="118" t="str">
        <f t="shared" si="17"/>
        <v>  977,036 </v>
      </c>
      <c r="I23" s="118" t="str">
        <f t="shared" si="17"/>
        <v>  1,025,887 </v>
      </c>
      <c r="J23" s="118" t="str">
        <f t="shared" si="17"/>
        <v>  1,077,182 </v>
      </c>
      <c r="K23" s="118" t="str">
        <f t="shared" si="17"/>
        <v>  1,131,041 </v>
      </c>
    </row>
    <row r="24" ht="14.25" customHeight="1"/>
    <row r="25" ht="14.25" customHeight="1">
      <c r="A25" s="119" t="s">
        <v>213</v>
      </c>
    </row>
    <row r="26" ht="14.25" customHeight="1"/>
    <row r="27" ht="14.25" customHeight="1"/>
    <row r="28" ht="14.25" customHeight="1">
      <c r="A28" s="120"/>
    </row>
    <row r="29" ht="14.25" customHeight="1">
      <c r="A29" s="121" t="s">
        <v>214</v>
      </c>
    </row>
    <row r="30" ht="14.25" customHeight="1">
      <c r="A30" s="120"/>
      <c r="B30" s="120"/>
      <c r="C30" s="120"/>
      <c r="D30" s="120"/>
      <c r="E30" s="120"/>
      <c r="F30" s="120"/>
      <c r="G30" s="120"/>
      <c r="H30" s="120"/>
      <c r="I30" s="120"/>
      <c r="J30" s="120"/>
      <c r="K30" s="120"/>
      <c r="L30" s="120"/>
      <c r="M30" s="120"/>
      <c r="N30" s="120"/>
      <c r="O30" s="120"/>
    </row>
    <row r="31" ht="14.25" customHeight="1">
      <c r="A31" s="111"/>
      <c r="B31" s="111"/>
      <c r="C31" s="122" t="s">
        <v>215</v>
      </c>
      <c r="D31" s="3"/>
      <c r="E31" s="3"/>
      <c r="F31" s="3"/>
      <c r="G31" s="3"/>
      <c r="H31" s="3"/>
      <c r="I31" s="3"/>
      <c r="J31" s="111"/>
      <c r="K31" s="123" t="s">
        <v>216</v>
      </c>
      <c r="L31" s="3"/>
      <c r="M31" s="3"/>
      <c r="N31" s="3"/>
      <c r="O31" s="3"/>
      <c r="P31" s="3"/>
      <c r="Q31" s="3"/>
    </row>
    <row r="32" ht="14.25" customHeight="1">
      <c r="A32" s="114" t="s">
        <v>190</v>
      </c>
      <c r="B32" s="124"/>
      <c r="C32" s="125" t="s">
        <v>193</v>
      </c>
      <c r="D32" s="125" t="s">
        <v>194</v>
      </c>
      <c r="E32" s="125" t="s">
        <v>195</v>
      </c>
      <c r="F32" s="125" t="s">
        <v>196</v>
      </c>
      <c r="G32" s="125" t="s">
        <v>197</v>
      </c>
      <c r="H32" s="125" t="s">
        <v>198</v>
      </c>
      <c r="I32" s="125" t="s">
        <v>199</v>
      </c>
      <c r="J32" s="126"/>
      <c r="K32" s="125" t="s">
        <v>193</v>
      </c>
      <c r="L32" s="125" t="s">
        <v>194</v>
      </c>
      <c r="M32" s="125" t="s">
        <v>195</v>
      </c>
      <c r="N32" s="125" t="s">
        <v>196</v>
      </c>
      <c r="O32" s="125" t="s">
        <v>197</v>
      </c>
      <c r="P32" s="125" t="s">
        <v>198</v>
      </c>
      <c r="Q32" s="125" t="s">
        <v>199</v>
      </c>
    </row>
    <row r="33" ht="14.25" customHeight="1">
      <c r="A33" s="127" t="s">
        <v>217</v>
      </c>
      <c r="B33" s="73"/>
      <c r="C33" s="73"/>
      <c r="D33" s="73"/>
      <c r="E33" s="73"/>
      <c r="F33" s="73"/>
      <c r="G33" s="128"/>
      <c r="H33" s="128"/>
      <c r="I33" s="128"/>
      <c r="J33" s="73"/>
      <c r="K33" s="73"/>
      <c r="L33" s="73"/>
      <c r="M33" s="73"/>
      <c r="N33" s="73"/>
      <c r="O33" s="128"/>
      <c r="P33" s="128"/>
      <c r="Q33" s="128"/>
    </row>
    <row r="34" ht="14.25" customHeight="1">
      <c r="A34" s="127"/>
      <c r="B34" s="73"/>
      <c r="C34" s="73"/>
      <c r="D34" s="73"/>
      <c r="E34" s="73"/>
      <c r="F34" s="73"/>
      <c r="G34" s="128"/>
      <c r="H34" s="128"/>
      <c r="I34" s="128"/>
      <c r="J34" s="73"/>
      <c r="K34" s="73"/>
      <c r="L34" s="73"/>
      <c r="M34" s="73"/>
      <c r="N34" s="73"/>
      <c r="O34" s="128"/>
      <c r="P34" s="128"/>
      <c r="Q34" s="128"/>
    </row>
    <row r="35" ht="14.25" customHeight="1">
      <c r="A35" s="129"/>
      <c r="B35" s="129"/>
      <c r="C35" s="73"/>
      <c r="D35" s="73"/>
      <c r="E35" s="73"/>
      <c r="F35" s="73"/>
      <c r="G35" s="73"/>
      <c r="H35" s="73"/>
      <c r="I35" s="73"/>
      <c r="J35" s="73"/>
      <c r="K35" s="73"/>
      <c r="L35" s="73"/>
      <c r="M35" s="73"/>
      <c r="N35" s="73"/>
      <c r="O35" s="73"/>
      <c r="P35" s="73"/>
      <c r="Q35" s="73"/>
    </row>
    <row r="36" ht="14.25" customHeight="1">
      <c r="A36" s="130" t="s">
        <v>218</v>
      </c>
      <c r="B36" s="130"/>
      <c r="C36" s="73"/>
      <c r="D36" s="73"/>
      <c r="E36" s="73"/>
      <c r="F36" s="73"/>
      <c r="G36" s="73"/>
      <c r="H36" s="73"/>
      <c r="I36" s="73"/>
      <c r="J36" s="73"/>
      <c r="K36" s="73"/>
      <c r="L36" s="73"/>
      <c r="M36" s="73"/>
      <c r="N36" s="73"/>
      <c r="O36" s="73"/>
      <c r="P36" s="73"/>
      <c r="Q36" s="73"/>
    </row>
    <row r="37" ht="14.25" customHeight="1">
      <c r="A37" s="129" t="s">
        <v>219</v>
      </c>
      <c r="B37" s="129"/>
      <c r="C37" s="131" t="str">
        <f>'1.Project Cost and MOF'!D5</f>
        <v>  24,802,276 </v>
      </c>
      <c r="D37" s="131" t="str">
        <f t="shared" ref="D37:I37" si="18">C40</f>
        <v>  24,016,044 </v>
      </c>
      <c r="E37" s="131" t="str">
        <f t="shared" si="18"/>
        <v>  23,229,812 </v>
      </c>
      <c r="F37" s="131" t="str">
        <f t="shared" si="18"/>
        <v>  22,443,580 </v>
      </c>
      <c r="G37" s="131" t="str">
        <f t="shared" si="18"/>
        <v>  21,657,347 </v>
      </c>
      <c r="H37" s="131" t="str">
        <f t="shared" si="18"/>
        <v>  20,871,115 </v>
      </c>
      <c r="I37" s="131" t="str">
        <f t="shared" si="18"/>
        <v>  20,084,883 </v>
      </c>
      <c r="J37" s="73"/>
      <c r="K37" s="131" t="str">
        <f>C37</f>
        <v>  24,802,276 </v>
      </c>
      <c r="L37" s="131" t="str">
        <f t="shared" ref="L37:Q37" si="19">K40</f>
        <v>  22,322,048 </v>
      </c>
      <c r="M37" s="131" t="str">
        <f t="shared" si="19"/>
        <v>  20,089,844 </v>
      </c>
      <c r="N37" s="131" t="str">
        <f t="shared" si="19"/>
        <v>  18,080,859 </v>
      </c>
      <c r="O37" s="131" t="str">
        <f t="shared" si="19"/>
        <v>  16,272,773 </v>
      </c>
      <c r="P37" s="131" t="str">
        <f t="shared" si="19"/>
        <v>  14,645,496 </v>
      </c>
      <c r="Q37" s="131" t="str">
        <f t="shared" si="19"/>
        <v>  13,180,946 </v>
      </c>
    </row>
    <row r="38" ht="14.25" customHeight="1">
      <c r="A38" s="129" t="s">
        <v>220</v>
      </c>
      <c r="B38" s="129"/>
      <c r="C38" s="131" t="str">
        <f t="shared" ref="C38:I38" si="20">$C$37*$B$74</f>
        <v>  786,232 </v>
      </c>
      <c r="D38" s="131" t="str">
        <f t="shared" si="20"/>
        <v>  786,232 </v>
      </c>
      <c r="E38" s="131" t="str">
        <f t="shared" si="20"/>
        <v>  786,232 </v>
      </c>
      <c r="F38" s="131" t="str">
        <f t="shared" si="20"/>
        <v>  786,232 </v>
      </c>
      <c r="G38" s="131" t="str">
        <f t="shared" si="20"/>
        <v>  786,232 </v>
      </c>
      <c r="H38" s="131" t="str">
        <f t="shared" si="20"/>
        <v>  786,232 </v>
      </c>
      <c r="I38" s="131" t="str">
        <f t="shared" si="20"/>
        <v>  786,232 </v>
      </c>
      <c r="J38" s="73"/>
      <c r="K38" s="131" t="str">
        <f t="shared" ref="K38:Q38" si="21">K37*$C$74</f>
        <v>  2,480,228 </v>
      </c>
      <c r="L38" s="131" t="str">
        <f t="shared" si="21"/>
        <v>  2,232,205 </v>
      </c>
      <c r="M38" s="131" t="str">
        <f t="shared" si="21"/>
        <v>  2,008,984 </v>
      </c>
      <c r="N38" s="131" t="str">
        <f t="shared" si="21"/>
        <v>  1,808,086 </v>
      </c>
      <c r="O38" s="131" t="str">
        <f t="shared" si="21"/>
        <v>  1,627,277 </v>
      </c>
      <c r="P38" s="131" t="str">
        <f t="shared" si="21"/>
        <v>  1,464,550 </v>
      </c>
      <c r="Q38" s="131" t="str">
        <f t="shared" si="21"/>
        <v>  1,318,095 </v>
      </c>
    </row>
    <row r="39" ht="14.25" customHeight="1">
      <c r="A39" s="129" t="s">
        <v>221</v>
      </c>
      <c r="B39" s="129"/>
      <c r="C39" s="131" t="str">
        <f>C38</f>
        <v>  786,232 </v>
      </c>
      <c r="D39" s="131" t="str">
        <f t="shared" ref="D39:I39" si="22">C39+D38</f>
        <v>  1,572,464 </v>
      </c>
      <c r="E39" s="131" t="str">
        <f t="shared" si="22"/>
        <v>  2,358,696 </v>
      </c>
      <c r="F39" s="131" t="str">
        <f t="shared" si="22"/>
        <v>  3,144,929 </v>
      </c>
      <c r="G39" s="131" t="str">
        <f t="shared" si="22"/>
        <v>  3,931,161 </v>
      </c>
      <c r="H39" s="131" t="str">
        <f t="shared" si="22"/>
        <v>  4,717,393 </v>
      </c>
      <c r="I39" s="131" t="str">
        <f t="shared" si="22"/>
        <v>  5,503,625 </v>
      </c>
      <c r="J39" s="73"/>
      <c r="K39" s="131" t="str">
        <f>K38</f>
        <v>  2,480,228 </v>
      </c>
      <c r="L39" s="131" t="str">
        <f t="shared" ref="L39:Q39" si="23">K39+L38</f>
        <v>  4,712,432 </v>
      </c>
      <c r="M39" s="131" t="str">
        <f t="shared" si="23"/>
        <v>  6,721,417 </v>
      </c>
      <c r="N39" s="131" t="str">
        <f t="shared" si="23"/>
        <v>  8,529,503 </v>
      </c>
      <c r="O39" s="131" t="str">
        <f t="shared" si="23"/>
        <v>  10,156,780 </v>
      </c>
      <c r="P39" s="131" t="str">
        <f t="shared" si="23"/>
        <v>  11,621,330 </v>
      </c>
      <c r="Q39" s="131" t="str">
        <f t="shared" si="23"/>
        <v>  12,939,424 </v>
      </c>
    </row>
    <row r="40" ht="14.25" customHeight="1">
      <c r="A40" s="129" t="s">
        <v>222</v>
      </c>
      <c r="B40" s="129"/>
      <c r="C40" s="131" t="str">
        <f t="shared" ref="C40:I40" si="24">C37-C38</f>
        <v>  24,016,044 </v>
      </c>
      <c r="D40" s="131" t="str">
        <f t="shared" si="24"/>
        <v>  23,229,812 </v>
      </c>
      <c r="E40" s="131" t="str">
        <f t="shared" si="24"/>
        <v>  22,443,580 </v>
      </c>
      <c r="F40" s="131" t="str">
        <f t="shared" si="24"/>
        <v>  21,657,347 </v>
      </c>
      <c r="G40" s="131" t="str">
        <f t="shared" si="24"/>
        <v>  20,871,115 </v>
      </c>
      <c r="H40" s="131" t="str">
        <f t="shared" si="24"/>
        <v>  20,084,883 </v>
      </c>
      <c r="I40" s="131" t="str">
        <f t="shared" si="24"/>
        <v>  19,298,651 </v>
      </c>
      <c r="J40" s="73"/>
      <c r="K40" s="131" t="str">
        <f t="shared" ref="K40:Q40" si="25">K37-K38</f>
        <v>  22,322,048 </v>
      </c>
      <c r="L40" s="131" t="str">
        <f t="shared" si="25"/>
        <v>  20,089,844 </v>
      </c>
      <c r="M40" s="131" t="str">
        <f t="shared" si="25"/>
        <v>  18,080,859 </v>
      </c>
      <c r="N40" s="131" t="str">
        <f t="shared" si="25"/>
        <v>  16,272,773 </v>
      </c>
      <c r="O40" s="131" t="str">
        <f t="shared" si="25"/>
        <v>  14,645,496 </v>
      </c>
      <c r="P40" s="131" t="str">
        <f t="shared" si="25"/>
        <v>  13,180,946 </v>
      </c>
      <c r="Q40" s="131" t="str">
        <f t="shared" si="25"/>
        <v>  11,862,852 </v>
      </c>
    </row>
    <row r="41" ht="14.25" customHeight="1">
      <c r="A41" s="129"/>
      <c r="B41" s="129"/>
      <c r="C41" s="131"/>
      <c r="D41" s="131"/>
      <c r="E41" s="131"/>
      <c r="F41" s="131"/>
      <c r="G41" s="131"/>
      <c r="H41" s="131"/>
      <c r="I41" s="131"/>
      <c r="J41" s="73"/>
      <c r="K41" s="131"/>
      <c r="L41" s="131"/>
      <c r="M41" s="131"/>
      <c r="N41" s="131"/>
      <c r="O41" s="131"/>
      <c r="P41" s="131"/>
      <c r="Q41" s="131"/>
    </row>
    <row r="42" ht="14.25" customHeight="1">
      <c r="A42" s="130" t="s">
        <v>223</v>
      </c>
      <c r="B42" s="130"/>
      <c r="C42" s="131"/>
      <c r="D42" s="131"/>
      <c r="E42" s="131"/>
      <c r="F42" s="131"/>
      <c r="G42" s="131"/>
      <c r="H42" s="131"/>
      <c r="I42" s="131"/>
      <c r="J42" s="73"/>
      <c r="K42" s="131"/>
      <c r="L42" s="131"/>
      <c r="M42" s="131"/>
      <c r="N42" s="131"/>
      <c r="O42" s="131"/>
      <c r="P42" s="131"/>
      <c r="Q42" s="131"/>
    </row>
    <row r="43" ht="14.25" customHeight="1">
      <c r="A43" s="129" t="s">
        <v>219</v>
      </c>
      <c r="B43" s="129"/>
      <c r="C43" s="131" t="str">
        <f>'1.Project Cost and MOF'!D6</f>
        <v>  6,595,634 </v>
      </c>
      <c r="D43" s="131" t="str">
        <f t="shared" ref="D43:I43" si="26">C46</f>
        <v>  6,178,130 </v>
      </c>
      <c r="E43" s="131" t="str">
        <f t="shared" si="26"/>
        <v>  5,760,627 </v>
      </c>
      <c r="F43" s="131" t="str">
        <f t="shared" si="26"/>
        <v>  5,343,123 </v>
      </c>
      <c r="G43" s="131" t="str">
        <f t="shared" si="26"/>
        <v>  4,925,619 </v>
      </c>
      <c r="H43" s="131" t="str">
        <f t="shared" si="26"/>
        <v>  4,508,116 </v>
      </c>
      <c r="I43" s="131" t="str">
        <f t="shared" si="26"/>
        <v>  4,090,612 </v>
      </c>
      <c r="J43" s="73"/>
      <c r="K43" s="131" t="str">
        <f>C43</f>
        <v>  6,595,634 </v>
      </c>
      <c r="L43" s="131" t="str">
        <f t="shared" ref="L43:Q43" si="27">K46</f>
        <v>  5,606,289 </v>
      </c>
      <c r="M43" s="131" t="str">
        <f t="shared" si="27"/>
        <v>  4,765,345 </v>
      </c>
      <c r="N43" s="131" t="str">
        <f t="shared" si="27"/>
        <v>  4,050,544 </v>
      </c>
      <c r="O43" s="131" t="str">
        <f t="shared" si="27"/>
        <v>  3,442,962 </v>
      </c>
      <c r="P43" s="131" t="str">
        <f t="shared" si="27"/>
        <v>  2,926,518 </v>
      </c>
      <c r="Q43" s="131" t="str">
        <f t="shared" si="27"/>
        <v>  2,487,540 </v>
      </c>
    </row>
    <row r="44" ht="14.25" customHeight="1">
      <c r="A44" s="129" t="s">
        <v>220</v>
      </c>
      <c r="B44" s="129"/>
      <c r="C44" s="131" t="str">
        <f t="shared" ref="C44:I44" si="28">$C$43*$B$78</f>
        <v>  417,504 </v>
      </c>
      <c r="D44" s="131" t="str">
        <f t="shared" si="28"/>
        <v>  417,504 </v>
      </c>
      <c r="E44" s="131" t="str">
        <f t="shared" si="28"/>
        <v>  417,504 </v>
      </c>
      <c r="F44" s="131" t="str">
        <f t="shared" si="28"/>
        <v>  417,504 </v>
      </c>
      <c r="G44" s="131" t="str">
        <f t="shared" si="28"/>
        <v>  417,504 </v>
      </c>
      <c r="H44" s="131" t="str">
        <f t="shared" si="28"/>
        <v>  417,504 </v>
      </c>
      <c r="I44" s="131" t="str">
        <f t="shared" si="28"/>
        <v>  417,504 </v>
      </c>
      <c r="J44" s="73"/>
      <c r="K44" s="131" t="str">
        <f t="shared" ref="K44:Q44" si="29">K43*$C$78</f>
        <v>  989,345 </v>
      </c>
      <c r="L44" s="131" t="str">
        <f t="shared" si="29"/>
        <v>  840,943 </v>
      </c>
      <c r="M44" s="131" t="str">
        <f t="shared" si="29"/>
        <v>  714,802 </v>
      </c>
      <c r="N44" s="131" t="str">
        <f t="shared" si="29"/>
        <v>  607,582 </v>
      </c>
      <c r="O44" s="131" t="str">
        <f t="shared" si="29"/>
        <v>  516,444 </v>
      </c>
      <c r="P44" s="131" t="str">
        <f t="shared" si="29"/>
        <v>  438,978 </v>
      </c>
      <c r="Q44" s="131" t="str">
        <f t="shared" si="29"/>
        <v>  373,131 </v>
      </c>
    </row>
    <row r="45" ht="14.25" customHeight="1">
      <c r="A45" s="129" t="s">
        <v>221</v>
      </c>
      <c r="B45" s="129"/>
      <c r="C45" s="131" t="str">
        <f>C44</f>
        <v>  417,504 </v>
      </c>
      <c r="D45" s="131" t="str">
        <f t="shared" ref="D45:I45" si="30">C45+D44</f>
        <v>  835,007 </v>
      </c>
      <c r="E45" s="131" t="str">
        <f t="shared" si="30"/>
        <v>  1,252,511 </v>
      </c>
      <c r="F45" s="131" t="str">
        <f t="shared" si="30"/>
        <v>  1,670,014 </v>
      </c>
      <c r="G45" s="131" t="str">
        <f t="shared" si="30"/>
        <v>  2,087,518 </v>
      </c>
      <c r="H45" s="131" t="str">
        <f t="shared" si="30"/>
        <v>  2,505,022 </v>
      </c>
      <c r="I45" s="131" t="str">
        <f t="shared" si="30"/>
        <v>  2,922,525 </v>
      </c>
      <c r="J45" s="73"/>
      <c r="K45" s="131" t="str">
        <f>K44</f>
        <v>  989,345 </v>
      </c>
      <c r="L45" s="131" t="str">
        <f t="shared" ref="L45:Q45" si="31">K45+L44</f>
        <v>  1,830,288 </v>
      </c>
      <c r="M45" s="131" t="str">
        <f t="shared" si="31"/>
        <v>  2,545,090 </v>
      </c>
      <c r="N45" s="131" t="str">
        <f t="shared" si="31"/>
        <v>  3,152,672 </v>
      </c>
      <c r="O45" s="131" t="str">
        <f t="shared" si="31"/>
        <v>  3,669,116 </v>
      </c>
      <c r="P45" s="131" t="str">
        <f t="shared" si="31"/>
        <v>  4,108,094 </v>
      </c>
      <c r="Q45" s="131" t="str">
        <f t="shared" si="31"/>
        <v>  4,481,225 </v>
      </c>
    </row>
    <row r="46" ht="14.25" customHeight="1">
      <c r="A46" s="129" t="s">
        <v>222</v>
      </c>
      <c r="B46" s="129"/>
      <c r="C46" s="131" t="str">
        <f t="shared" ref="C46:I46" si="32">C43-C44</f>
        <v>  6,178,130 </v>
      </c>
      <c r="D46" s="131" t="str">
        <f t="shared" si="32"/>
        <v>  5,760,627 </v>
      </c>
      <c r="E46" s="131" t="str">
        <f t="shared" si="32"/>
        <v>  5,343,123 </v>
      </c>
      <c r="F46" s="131" t="str">
        <f t="shared" si="32"/>
        <v>  4,925,619 </v>
      </c>
      <c r="G46" s="131" t="str">
        <f t="shared" si="32"/>
        <v>  4,508,116 </v>
      </c>
      <c r="H46" s="131" t="str">
        <f t="shared" si="32"/>
        <v>  4,090,612 </v>
      </c>
      <c r="I46" s="131" t="str">
        <f t="shared" si="32"/>
        <v>  3,673,108 </v>
      </c>
      <c r="J46" s="73"/>
      <c r="K46" s="131" t="str">
        <f t="shared" ref="K46:Q46" si="33">K43-K44</f>
        <v>  5,606,289 </v>
      </c>
      <c r="L46" s="131" t="str">
        <f t="shared" si="33"/>
        <v>  4,765,345 </v>
      </c>
      <c r="M46" s="131" t="str">
        <f t="shared" si="33"/>
        <v>  4,050,544 </v>
      </c>
      <c r="N46" s="131" t="str">
        <f t="shared" si="33"/>
        <v>  3,442,962 </v>
      </c>
      <c r="O46" s="131" t="str">
        <f t="shared" si="33"/>
        <v>  2,926,518 </v>
      </c>
      <c r="P46" s="131" t="str">
        <f t="shared" si="33"/>
        <v>  2,487,540 </v>
      </c>
      <c r="Q46" s="131" t="str">
        <f t="shared" si="33"/>
        <v>  2,114,409 </v>
      </c>
    </row>
    <row r="47" ht="14.25" customHeight="1">
      <c r="A47" s="129"/>
      <c r="B47" s="129"/>
      <c r="C47" s="131"/>
      <c r="D47" s="131"/>
      <c r="E47" s="131"/>
      <c r="F47" s="131"/>
      <c r="G47" s="131"/>
      <c r="H47" s="131"/>
      <c r="I47" s="131"/>
      <c r="J47" s="73"/>
      <c r="K47" s="131"/>
      <c r="L47" s="131"/>
      <c r="M47" s="131"/>
      <c r="N47" s="131"/>
      <c r="O47" s="131"/>
      <c r="P47" s="131"/>
      <c r="Q47" s="131"/>
    </row>
    <row r="48" ht="14.25" customHeight="1">
      <c r="A48" s="130" t="s">
        <v>224</v>
      </c>
      <c r="B48" s="130"/>
      <c r="C48" s="131"/>
      <c r="D48" s="131"/>
      <c r="E48" s="131"/>
      <c r="F48" s="131"/>
      <c r="G48" s="131"/>
      <c r="H48" s="131"/>
      <c r="I48" s="131"/>
      <c r="J48" s="73"/>
      <c r="K48" s="131"/>
      <c r="L48" s="131"/>
      <c r="M48" s="131"/>
      <c r="N48" s="131"/>
      <c r="O48" s="131"/>
      <c r="P48" s="131"/>
      <c r="Q48" s="131"/>
    </row>
    <row r="49" ht="14.25" customHeight="1">
      <c r="A49" s="129" t="s">
        <v>219</v>
      </c>
      <c r="B49" s="129"/>
      <c r="C49" s="131" t="str">
        <f>'1.Project Cost and MOF'!D7</f>
        <v>  -   </v>
      </c>
      <c r="D49" s="131" t="str">
        <f t="shared" ref="D49:I49" si="34">C52</f>
        <v>  -   </v>
      </c>
      <c r="E49" s="131" t="str">
        <f t="shared" si="34"/>
        <v>  -   </v>
      </c>
      <c r="F49" s="131" t="str">
        <f t="shared" si="34"/>
        <v>  -   </v>
      </c>
      <c r="G49" s="131" t="str">
        <f t="shared" si="34"/>
        <v>  -   </v>
      </c>
      <c r="H49" s="131" t="str">
        <f t="shared" si="34"/>
        <v>  -   </v>
      </c>
      <c r="I49" s="131" t="str">
        <f t="shared" si="34"/>
        <v>  -   </v>
      </c>
      <c r="J49" s="73"/>
      <c r="K49" s="131" t="str">
        <f>C49</f>
        <v>  -   </v>
      </c>
      <c r="L49" s="131" t="str">
        <f t="shared" ref="L49:Q49" si="35">K52</f>
        <v>  -   </v>
      </c>
      <c r="M49" s="131" t="str">
        <f t="shared" si="35"/>
        <v>  -   </v>
      </c>
      <c r="N49" s="131" t="str">
        <f t="shared" si="35"/>
        <v>  -   </v>
      </c>
      <c r="O49" s="131" t="str">
        <f t="shared" si="35"/>
        <v>  -   </v>
      </c>
      <c r="P49" s="131" t="str">
        <f t="shared" si="35"/>
        <v>  -   </v>
      </c>
      <c r="Q49" s="131" t="str">
        <f t="shared" si="35"/>
        <v>  -   </v>
      </c>
    </row>
    <row r="50" ht="14.25" customHeight="1">
      <c r="A50" s="129" t="s">
        <v>220</v>
      </c>
      <c r="B50" s="129"/>
      <c r="C50" s="131" t="str">
        <f t="shared" ref="C50:I50" si="36">$C$49*$B$75</f>
        <v>  -   </v>
      </c>
      <c r="D50" s="131" t="str">
        <f t="shared" si="36"/>
        <v>  -   </v>
      </c>
      <c r="E50" s="131" t="str">
        <f t="shared" si="36"/>
        <v>  -   </v>
      </c>
      <c r="F50" s="131" t="str">
        <f t="shared" si="36"/>
        <v>  -   </v>
      </c>
      <c r="G50" s="131" t="str">
        <f t="shared" si="36"/>
        <v>  -   </v>
      </c>
      <c r="H50" s="131" t="str">
        <f t="shared" si="36"/>
        <v>  -   </v>
      </c>
      <c r="I50" s="131" t="str">
        <f t="shared" si="36"/>
        <v>  -   </v>
      </c>
      <c r="J50" s="73"/>
      <c r="K50" s="131" t="str">
        <f t="shared" ref="K50:Q50" si="37">K49*$C$75</f>
        <v>  -   </v>
      </c>
      <c r="L50" s="131" t="str">
        <f t="shared" si="37"/>
        <v>  -   </v>
      </c>
      <c r="M50" s="131" t="str">
        <f t="shared" si="37"/>
        <v>  -   </v>
      </c>
      <c r="N50" s="131" t="str">
        <f t="shared" si="37"/>
        <v>  -   </v>
      </c>
      <c r="O50" s="131" t="str">
        <f t="shared" si="37"/>
        <v>  -   </v>
      </c>
      <c r="P50" s="131" t="str">
        <f t="shared" si="37"/>
        <v>  -   </v>
      </c>
      <c r="Q50" s="131" t="str">
        <f t="shared" si="37"/>
        <v>  -   </v>
      </c>
    </row>
    <row r="51" ht="14.25" customHeight="1">
      <c r="A51" s="129" t="s">
        <v>221</v>
      </c>
      <c r="B51" s="129"/>
      <c r="C51" s="131" t="str">
        <f>C50</f>
        <v>  -   </v>
      </c>
      <c r="D51" s="131" t="str">
        <f t="shared" ref="D51:I51" si="38">C51+D50</f>
        <v>  -   </v>
      </c>
      <c r="E51" s="131" t="str">
        <f t="shared" si="38"/>
        <v>  -   </v>
      </c>
      <c r="F51" s="131" t="str">
        <f t="shared" si="38"/>
        <v>  -   </v>
      </c>
      <c r="G51" s="131" t="str">
        <f t="shared" si="38"/>
        <v>  -   </v>
      </c>
      <c r="H51" s="131" t="str">
        <f t="shared" si="38"/>
        <v>  -   </v>
      </c>
      <c r="I51" s="131" t="str">
        <f t="shared" si="38"/>
        <v>  -   </v>
      </c>
      <c r="J51" s="73"/>
      <c r="K51" s="131" t="str">
        <f>K50</f>
        <v>  -   </v>
      </c>
      <c r="L51" s="131" t="str">
        <f t="shared" ref="L51:Q51" si="39">K51+L50</f>
        <v>  -   </v>
      </c>
      <c r="M51" s="131" t="str">
        <f t="shared" si="39"/>
        <v>  -   </v>
      </c>
      <c r="N51" s="131" t="str">
        <f t="shared" si="39"/>
        <v>  -   </v>
      </c>
      <c r="O51" s="131" t="str">
        <f t="shared" si="39"/>
        <v>  -   </v>
      </c>
      <c r="P51" s="131" t="str">
        <f t="shared" si="39"/>
        <v>  -   </v>
      </c>
      <c r="Q51" s="131" t="str">
        <f t="shared" si="39"/>
        <v>  -   </v>
      </c>
    </row>
    <row r="52" ht="14.25" customHeight="1">
      <c r="A52" s="129" t="s">
        <v>222</v>
      </c>
      <c r="B52" s="129"/>
      <c r="C52" s="131" t="str">
        <f t="shared" ref="C52:I52" si="40">C49-C50</f>
        <v>  -   </v>
      </c>
      <c r="D52" s="131" t="str">
        <f t="shared" si="40"/>
        <v>  -   </v>
      </c>
      <c r="E52" s="131" t="str">
        <f t="shared" si="40"/>
        <v>  -   </v>
      </c>
      <c r="F52" s="131" t="str">
        <f t="shared" si="40"/>
        <v>  -   </v>
      </c>
      <c r="G52" s="131" t="str">
        <f t="shared" si="40"/>
        <v>  -   </v>
      </c>
      <c r="H52" s="131" t="str">
        <f t="shared" si="40"/>
        <v>  -   </v>
      </c>
      <c r="I52" s="131" t="str">
        <f t="shared" si="40"/>
        <v>  -   </v>
      </c>
      <c r="J52" s="73"/>
      <c r="K52" s="131" t="str">
        <f t="shared" ref="K52:Q52" si="41">K49-K50</f>
        <v>  -   </v>
      </c>
      <c r="L52" s="131" t="str">
        <f t="shared" si="41"/>
        <v>  -   </v>
      </c>
      <c r="M52" s="131" t="str">
        <f t="shared" si="41"/>
        <v>  -   </v>
      </c>
      <c r="N52" s="131" t="str">
        <f t="shared" si="41"/>
        <v>  -   </v>
      </c>
      <c r="O52" s="131" t="str">
        <f t="shared" si="41"/>
        <v>  -   </v>
      </c>
      <c r="P52" s="131" t="str">
        <f t="shared" si="41"/>
        <v>  -   </v>
      </c>
      <c r="Q52" s="131" t="str">
        <f t="shared" si="41"/>
        <v>  -   </v>
      </c>
    </row>
    <row r="53" ht="14.25" customHeight="1">
      <c r="A53" s="129"/>
      <c r="B53" s="129"/>
      <c r="C53" s="131"/>
      <c r="D53" s="131"/>
      <c r="E53" s="131"/>
      <c r="F53" s="131"/>
      <c r="G53" s="131"/>
      <c r="H53" s="131"/>
      <c r="I53" s="131"/>
      <c r="J53" s="73"/>
      <c r="K53" s="131"/>
      <c r="L53" s="131"/>
      <c r="M53" s="131"/>
      <c r="N53" s="131"/>
      <c r="O53" s="131"/>
      <c r="P53" s="131"/>
      <c r="Q53" s="131"/>
    </row>
    <row r="54" ht="14.25" customHeight="1">
      <c r="A54" s="130" t="s">
        <v>225</v>
      </c>
      <c r="B54" s="130"/>
      <c r="C54" s="131"/>
      <c r="D54" s="131"/>
      <c r="E54" s="131"/>
      <c r="F54" s="131"/>
      <c r="G54" s="131"/>
      <c r="H54" s="131"/>
      <c r="I54" s="131"/>
      <c r="J54" s="73"/>
      <c r="K54" s="131"/>
      <c r="L54" s="131"/>
      <c r="M54" s="131"/>
      <c r="N54" s="131"/>
      <c r="O54" s="131"/>
      <c r="P54" s="131"/>
      <c r="Q54" s="131"/>
    </row>
    <row r="55" ht="14.25" customHeight="1">
      <c r="A55" s="129" t="s">
        <v>219</v>
      </c>
      <c r="B55" s="129"/>
      <c r="C55" s="131" t="str">
        <f>'1.Project Cost and MOF'!D9</f>
        <v/>
      </c>
      <c r="D55" s="131" t="str">
        <f t="shared" ref="D55:I55" si="42">C58</f>
        <v>  -   </v>
      </c>
      <c r="E55" s="131" t="str">
        <f t="shared" si="42"/>
        <v>  -   </v>
      </c>
      <c r="F55" s="131" t="str">
        <f t="shared" si="42"/>
        <v>  -   </v>
      </c>
      <c r="G55" s="131" t="str">
        <f t="shared" si="42"/>
        <v>  -   </v>
      </c>
      <c r="H55" s="131" t="str">
        <f t="shared" si="42"/>
        <v>  -   </v>
      </c>
      <c r="I55" s="131" t="str">
        <f t="shared" si="42"/>
        <v>  -   </v>
      </c>
      <c r="J55" s="73"/>
      <c r="K55" s="131" t="str">
        <f>C55</f>
        <v/>
      </c>
      <c r="L55" s="131" t="str">
        <f t="shared" ref="L55:Q55" si="43">K58</f>
        <v>  -   </v>
      </c>
      <c r="M55" s="131" t="str">
        <f t="shared" si="43"/>
        <v>  -   </v>
      </c>
      <c r="N55" s="131" t="str">
        <f t="shared" si="43"/>
        <v>  -   </v>
      </c>
      <c r="O55" s="131" t="str">
        <f t="shared" si="43"/>
        <v>  -   </v>
      </c>
      <c r="P55" s="131" t="str">
        <f t="shared" si="43"/>
        <v>  -   </v>
      </c>
      <c r="Q55" s="131" t="str">
        <f t="shared" si="43"/>
        <v>  -   </v>
      </c>
    </row>
    <row r="56" ht="14.25" customHeight="1">
      <c r="A56" s="129" t="s">
        <v>220</v>
      </c>
      <c r="B56" s="129"/>
      <c r="C56" s="131" t="str">
        <f t="shared" ref="C56:I56" si="44">$C$55*$B$77</f>
        <v>  -   </v>
      </c>
      <c r="D56" s="131" t="str">
        <f t="shared" si="44"/>
        <v>  -   </v>
      </c>
      <c r="E56" s="131" t="str">
        <f t="shared" si="44"/>
        <v>  -   </v>
      </c>
      <c r="F56" s="131" t="str">
        <f t="shared" si="44"/>
        <v>  -   </v>
      </c>
      <c r="G56" s="131" t="str">
        <f t="shared" si="44"/>
        <v>  -   </v>
      </c>
      <c r="H56" s="131" t="str">
        <f t="shared" si="44"/>
        <v>  -   </v>
      </c>
      <c r="I56" s="131" t="str">
        <f t="shared" si="44"/>
        <v>  -   </v>
      </c>
      <c r="J56" s="73"/>
      <c r="K56" s="131" t="str">
        <f t="shared" ref="K56:Q56" si="45">K55*$C$77</f>
        <v>  -   </v>
      </c>
      <c r="L56" s="131" t="str">
        <f t="shared" si="45"/>
        <v>  -   </v>
      </c>
      <c r="M56" s="131" t="str">
        <f t="shared" si="45"/>
        <v>  -   </v>
      </c>
      <c r="N56" s="131" t="str">
        <f t="shared" si="45"/>
        <v>  -   </v>
      </c>
      <c r="O56" s="131" t="str">
        <f t="shared" si="45"/>
        <v>  -   </v>
      </c>
      <c r="P56" s="131" t="str">
        <f t="shared" si="45"/>
        <v>  -   </v>
      </c>
      <c r="Q56" s="131" t="str">
        <f t="shared" si="45"/>
        <v>  -   </v>
      </c>
    </row>
    <row r="57" ht="14.25" customHeight="1">
      <c r="A57" s="129" t="s">
        <v>221</v>
      </c>
      <c r="B57" s="129"/>
      <c r="C57" s="131" t="str">
        <f>C56</f>
        <v>  -   </v>
      </c>
      <c r="D57" s="131" t="str">
        <f t="shared" ref="D57:I57" si="46">C57+D56</f>
        <v>  -   </v>
      </c>
      <c r="E57" s="131" t="str">
        <f t="shared" si="46"/>
        <v>  -   </v>
      </c>
      <c r="F57" s="131" t="str">
        <f t="shared" si="46"/>
        <v>  -   </v>
      </c>
      <c r="G57" s="131" t="str">
        <f t="shared" si="46"/>
        <v>  -   </v>
      </c>
      <c r="H57" s="131" t="str">
        <f t="shared" si="46"/>
        <v>  -   </v>
      </c>
      <c r="I57" s="131" t="str">
        <f t="shared" si="46"/>
        <v>  -   </v>
      </c>
      <c r="J57" s="73"/>
      <c r="K57" s="131" t="str">
        <f>K56</f>
        <v>  -   </v>
      </c>
      <c r="L57" s="131" t="str">
        <f t="shared" ref="L57:Q57" si="47">K57+L56</f>
        <v>  -   </v>
      </c>
      <c r="M57" s="131" t="str">
        <f t="shared" si="47"/>
        <v>  -   </v>
      </c>
      <c r="N57" s="131" t="str">
        <f t="shared" si="47"/>
        <v>  -   </v>
      </c>
      <c r="O57" s="131" t="str">
        <f t="shared" si="47"/>
        <v>  -   </v>
      </c>
      <c r="P57" s="131" t="str">
        <f t="shared" si="47"/>
        <v>  -   </v>
      </c>
      <c r="Q57" s="131" t="str">
        <f t="shared" si="47"/>
        <v>  -   </v>
      </c>
    </row>
    <row r="58" ht="14.25" customHeight="1">
      <c r="A58" s="129" t="s">
        <v>222</v>
      </c>
      <c r="B58" s="129"/>
      <c r="C58" s="131" t="str">
        <f t="shared" ref="C58:I58" si="48">C55-C56</f>
        <v>  -   </v>
      </c>
      <c r="D58" s="131" t="str">
        <f t="shared" si="48"/>
        <v>  -   </v>
      </c>
      <c r="E58" s="131" t="str">
        <f t="shared" si="48"/>
        <v>  -   </v>
      </c>
      <c r="F58" s="131" t="str">
        <f t="shared" si="48"/>
        <v>  -   </v>
      </c>
      <c r="G58" s="131" t="str">
        <f t="shared" si="48"/>
        <v>  -   </v>
      </c>
      <c r="H58" s="131" t="str">
        <f t="shared" si="48"/>
        <v>  -   </v>
      </c>
      <c r="I58" s="131" t="str">
        <f t="shared" si="48"/>
        <v>  -   </v>
      </c>
      <c r="J58" s="73"/>
      <c r="K58" s="131" t="str">
        <f t="shared" ref="K58:Q58" si="49">K55-K56</f>
        <v>  -   </v>
      </c>
      <c r="L58" s="131" t="str">
        <f t="shared" si="49"/>
        <v>  -   </v>
      </c>
      <c r="M58" s="131" t="str">
        <f t="shared" si="49"/>
        <v>  -   </v>
      </c>
      <c r="N58" s="131" t="str">
        <f t="shared" si="49"/>
        <v>  -   </v>
      </c>
      <c r="O58" s="131" t="str">
        <f t="shared" si="49"/>
        <v>  -   </v>
      </c>
      <c r="P58" s="131" t="str">
        <f t="shared" si="49"/>
        <v>  -   </v>
      </c>
      <c r="Q58" s="131" t="str">
        <f t="shared" si="49"/>
        <v>  -   </v>
      </c>
    </row>
    <row r="59" ht="14.25" customHeight="1">
      <c r="A59" s="129"/>
      <c r="B59" s="129"/>
      <c r="C59" s="131"/>
      <c r="D59" s="131"/>
      <c r="E59" s="131"/>
      <c r="F59" s="131"/>
      <c r="G59" s="131"/>
      <c r="H59" s="131"/>
      <c r="I59" s="131"/>
      <c r="J59" s="73"/>
      <c r="K59" s="131"/>
      <c r="L59" s="131"/>
      <c r="M59" s="131"/>
      <c r="N59" s="131"/>
      <c r="O59" s="131"/>
      <c r="P59" s="131"/>
      <c r="Q59" s="131"/>
    </row>
    <row r="60" ht="14.25" customHeight="1">
      <c r="A60" s="132" t="s">
        <v>226</v>
      </c>
      <c r="B60" s="129"/>
      <c r="C60" s="131"/>
      <c r="D60" s="131"/>
      <c r="E60" s="131"/>
      <c r="F60" s="131"/>
      <c r="G60" s="131"/>
      <c r="H60" s="131"/>
      <c r="I60" s="131"/>
      <c r="J60" s="73"/>
      <c r="K60" s="131"/>
      <c r="L60" s="131"/>
      <c r="M60" s="131"/>
      <c r="N60" s="131"/>
      <c r="O60" s="131"/>
      <c r="P60" s="131"/>
      <c r="Q60" s="131"/>
    </row>
    <row r="61" ht="14.25" customHeight="1">
      <c r="A61" s="129" t="str">
        <f t="shared" ref="A61:A64" si="52">A55</f>
        <v>Asset Value</v>
      </c>
      <c r="B61" s="129"/>
      <c r="C61" s="131" t="str">
        <f>'1.Project Cost and MOF'!D8</f>
        <v>  -   </v>
      </c>
      <c r="D61" s="131" t="str">
        <f t="shared" ref="D61:I61" si="50">C64</f>
        <v>  -   </v>
      </c>
      <c r="E61" s="131" t="str">
        <f t="shared" si="50"/>
        <v>  -   </v>
      </c>
      <c r="F61" s="131" t="str">
        <f t="shared" si="50"/>
        <v>  -   </v>
      </c>
      <c r="G61" s="131" t="str">
        <f t="shared" si="50"/>
        <v>  -   </v>
      </c>
      <c r="H61" s="131" t="str">
        <f t="shared" si="50"/>
        <v>  -   </v>
      </c>
      <c r="I61" s="131" t="str">
        <f t="shared" si="50"/>
        <v>  -   </v>
      </c>
      <c r="J61" s="73"/>
      <c r="K61" s="131" t="str">
        <f>C61</f>
        <v>  -   </v>
      </c>
      <c r="L61" s="131" t="str">
        <f t="shared" ref="L61:Q61" si="51">K64</f>
        <v>  -   </v>
      </c>
      <c r="M61" s="131" t="str">
        <f t="shared" si="51"/>
        <v>  -   </v>
      </c>
      <c r="N61" s="131" t="str">
        <f t="shared" si="51"/>
        <v>  -   </v>
      </c>
      <c r="O61" s="131" t="str">
        <f t="shared" si="51"/>
        <v>  -   </v>
      </c>
      <c r="P61" s="131" t="str">
        <f t="shared" si="51"/>
        <v>  -   </v>
      </c>
      <c r="Q61" s="131" t="str">
        <f t="shared" si="51"/>
        <v>  -   </v>
      </c>
    </row>
    <row r="62" ht="14.25" customHeight="1">
      <c r="A62" s="129" t="str">
        <f t="shared" si="52"/>
        <v>Depreciation</v>
      </c>
      <c r="B62" s="129"/>
      <c r="C62" s="131" t="str">
        <f t="shared" ref="C62:I62" si="53">$C$61*$B$76</f>
        <v>  -   </v>
      </c>
      <c r="D62" s="131" t="str">
        <f t="shared" si="53"/>
        <v>  -   </v>
      </c>
      <c r="E62" s="131" t="str">
        <f t="shared" si="53"/>
        <v>  -   </v>
      </c>
      <c r="F62" s="131" t="str">
        <f t="shared" si="53"/>
        <v>  -   </v>
      </c>
      <c r="G62" s="131" t="str">
        <f t="shared" si="53"/>
        <v>  -   </v>
      </c>
      <c r="H62" s="131" t="str">
        <f t="shared" si="53"/>
        <v>  -   </v>
      </c>
      <c r="I62" s="131" t="str">
        <f t="shared" si="53"/>
        <v>  -   </v>
      </c>
      <c r="J62" s="73"/>
      <c r="K62" s="131" t="str">
        <f t="shared" ref="K62:Q62" si="54">K61*$C$76</f>
        <v>  -   </v>
      </c>
      <c r="L62" s="131" t="str">
        <f t="shared" si="54"/>
        <v>  -   </v>
      </c>
      <c r="M62" s="131" t="str">
        <f t="shared" si="54"/>
        <v>  -   </v>
      </c>
      <c r="N62" s="131" t="str">
        <f t="shared" si="54"/>
        <v>  -   </v>
      </c>
      <c r="O62" s="131" t="str">
        <f t="shared" si="54"/>
        <v>  -   </v>
      </c>
      <c r="P62" s="131" t="str">
        <f t="shared" si="54"/>
        <v>  -   </v>
      </c>
      <c r="Q62" s="131" t="str">
        <f t="shared" si="54"/>
        <v>  -   </v>
      </c>
    </row>
    <row r="63" ht="14.25" customHeight="1">
      <c r="A63" s="129" t="str">
        <f t="shared" si="52"/>
        <v>Accumulated Depreciation</v>
      </c>
      <c r="B63" s="129"/>
      <c r="C63" s="131" t="str">
        <f>C62</f>
        <v>  -   </v>
      </c>
      <c r="D63" s="131" t="str">
        <f t="shared" ref="D63:I63" si="55">D62+C63</f>
        <v>  -   </v>
      </c>
      <c r="E63" s="131" t="str">
        <f t="shared" si="55"/>
        <v>  -   </v>
      </c>
      <c r="F63" s="131" t="str">
        <f t="shared" si="55"/>
        <v>  -   </v>
      </c>
      <c r="G63" s="131" t="str">
        <f t="shared" si="55"/>
        <v>  -   </v>
      </c>
      <c r="H63" s="131" t="str">
        <f t="shared" si="55"/>
        <v>  -   </v>
      </c>
      <c r="I63" s="131" t="str">
        <f t="shared" si="55"/>
        <v>  -   </v>
      </c>
      <c r="J63" s="73"/>
      <c r="K63" s="131" t="str">
        <f>K62</f>
        <v>  -   </v>
      </c>
      <c r="L63" s="131" t="str">
        <f t="shared" ref="L63:Q63" si="56">L62+K63</f>
        <v>  -   </v>
      </c>
      <c r="M63" s="131" t="str">
        <f t="shared" si="56"/>
        <v>  -   </v>
      </c>
      <c r="N63" s="131" t="str">
        <f t="shared" si="56"/>
        <v>  -   </v>
      </c>
      <c r="O63" s="131" t="str">
        <f t="shared" si="56"/>
        <v>  -   </v>
      </c>
      <c r="P63" s="131" t="str">
        <f t="shared" si="56"/>
        <v>  -   </v>
      </c>
      <c r="Q63" s="131" t="str">
        <f t="shared" si="56"/>
        <v>  -   </v>
      </c>
    </row>
    <row r="64" ht="14.25" customHeight="1">
      <c r="A64" s="129" t="str">
        <f t="shared" si="52"/>
        <v>Net Fixed Assets</v>
      </c>
      <c r="B64" s="129"/>
      <c r="C64" s="131" t="str">
        <f t="shared" ref="C64:I64" si="57">C61-C62</f>
        <v>  -   </v>
      </c>
      <c r="D64" s="131" t="str">
        <f t="shared" si="57"/>
        <v>  -   </v>
      </c>
      <c r="E64" s="131" t="str">
        <f t="shared" si="57"/>
        <v>  -   </v>
      </c>
      <c r="F64" s="131" t="str">
        <f t="shared" si="57"/>
        <v>  -   </v>
      </c>
      <c r="G64" s="131" t="str">
        <f t="shared" si="57"/>
        <v>  -   </v>
      </c>
      <c r="H64" s="131" t="str">
        <f t="shared" si="57"/>
        <v>  -   </v>
      </c>
      <c r="I64" s="131" t="str">
        <f t="shared" si="57"/>
        <v>  -   </v>
      </c>
      <c r="J64" s="73"/>
      <c r="K64" s="131" t="str">
        <f t="shared" ref="K64:Q64" si="58">K61-K62</f>
        <v>  -   </v>
      </c>
      <c r="L64" s="131" t="str">
        <f t="shared" si="58"/>
        <v>  -   </v>
      </c>
      <c r="M64" s="131" t="str">
        <f t="shared" si="58"/>
        <v>  -   </v>
      </c>
      <c r="N64" s="131" t="str">
        <f t="shared" si="58"/>
        <v>  -   </v>
      </c>
      <c r="O64" s="131" t="str">
        <f t="shared" si="58"/>
        <v>  -   </v>
      </c>
      <c r="P64" s="131" t="str">
        <f t="shared" si="58"/>
        <v>  -   </v>
      </c>
      <c r="Q64" s="131" t="str">
        <f t="shared" si="58"/>
        <v>  -   </v>
      </c>
    </row>
    <row r="65" ht="14.25" customHeight="1">
      <c r="A65" s="130" t="s">
        <v>227</v>
      </c>
      <c r="B65" s="130"/>
      <c r="C65" s="133" t="str">
        <f t="shared" ref="C65:I65" si="59">C49+C43+C37+C55+C61</f>
        <v>  31,397,910 </v>
      </c>
      <c r="D65" s="133" t="str">
        <f t="shared" si="59"/>
        <v>  30,194,174 </v>
      </c>
      <c r="E65" s="133" t="str">
        <f t="shared" si="59"/>
        <v>  28,990,438 </v>
      </c>
      <c r="F65" s="133" t="str">
        <f t="shared" si="59"/>
        <v>  27,786,702 </v>
      </c>
      <c r="G65" s="133" t="str">
        <f t="shared" si="59"/>
        <v>  26,582,967 </v>
      </c>
      <c r="H65" s="133" t="str">
        <f t="shared" si="59"/>
        <v>  25,379,231 </v>
      </c>
      <c r="I65" s="133" t="str">
        <f t="shared" si="59"/>
        <v>  24,175,495 </v>
      </c>
      <c r="J65" s="73"/>
      <c r="K65" s="133" t="str">
        <f t="shared" ref="K65:Q65" si="60">K49+K43+K37+K55+K61</f>
        <v>  31,397,910 </v>
      </c>
      <c r="L65" s="133" t="str">
        <f t="shared" si="60"/>
        <v>  27,928,337 </v>
      </c>
      <c r="M65" s="133" t="str">
        <f t="shared" si="60"/>
        <v>  24,855,189 </v>
      </c>
      <c r="N65" s="133" t="str">
        <f t="shared" si="60"/>
        <v>  22,131,403 </v>
      </c>
      <c r="O65" s="133" t="str">
        <f t="shared" si="60"/>
        <v>  19,715,735 </v>
      </c>
      <c r="P65" s="133" t="str">
        <f t="shared" si="60"/>
        <v>  17,572,014 </v>
      </c>
      <c r="Q65" s="133" t="str">
        <f t="shared" si="60"/>
        <v>  15,668,486 </v>
      </c>
    </row>
    <row r="66" ht="14.25" customHeight="1">
      <c r="A66" s="130" t="s">
        <v>228</v>
      </c>
      <c r="B66" s="130"/>
      <c r="C66" s="133" t="str">
        <f t="shared" ref="C66:I66" si="61">C50+C44+C38+C56+C62</f>
        <v>  1,203,736 </v>
      </c>
      <c r="D66" s="133" t="str">
        <f t="shared" si="61"/>
        <v>  1,203,736 </v>
      </c>
      <c r="E66" s="133" t="str">
        <f t="shared" si="61"/>
        <v>  1,203,736 </v>
      </c>
      <c r="F66" s="133" t="str">
        <f t="shared" si="61"/>
        <v>  1,203,736 </v>
      </c>
      <c r="G66" s="133" t="str">
        <f t="shared" si="61"/>
        <v>  1,203,736 </v>
      </c>
      <c r="H66" s="133" t="str">
        <f t="shared" si="61"/>
        <v>  1,203,736 </v>
      </c>
      <c r="I66" s="133" t="str">
        <f t="shared" si="61"/>
        <v>  1,203,736 </v>
      </c>
      <c r="J66" s="73"/>
      <c r="K66" s="133" t="str">
        <f t="shared" ref="K66:Q66" si="62">K50+K44+K38+K56+K62</f>
        <v>  3,469,573 </v>
      </c>
      <c r="L66" s="133" t="str">
        <f t="shared" si="62"/>
        <v>  3,073,148 </v>
      </c>
      <c r="M66" s="133" t="str">
        <f t="shared" si="62"/>
        <v>  2,723,786 </v>
      </c>
      <c r="N66" s="133" t="str">
        <f t="shared" si="62"/>
        <v>  2,415,667 </v>
      </c>
      <c r="O66" s="133" t="str">
        <f t="shared" si="62"/>
        <v>  2,143,722 </v>
      </c>
      <c r="P66" s="133" t="str">
        <f t="shared" si="62"/>
        <v>  1,903,527 </v>
      </c>
      <c r="Q66" s="133" t="str">
        <f t="shared" si="62"/>
        <v>  1,691,226 </v>
      </c>
    </row>
    <row r="67" ht="14.25" customHeight="1">
      <c r="A67" s="130" t="s">
        <v>229</v>
      </c>
      <c r="B67" s="130"/>
      <c r="C67" s="133" t="str">
        <f t="shared" ref="C67:I67" si="63">C51+C45+C39+C57+C63</f>
        <v>  1,203,736 </v>
      </c>
      <c r="D67" s="133" t="str">
        <f t="shared" si="63"/>
        <v>  2,407,472 </v>
      </c>
      <c r="E67" s="133" t="str">
        <f t="shared" si="63"/>
        <v>  3,611,207 </v>
      </c>
      <c r="F67" s="133" t="str">
        <f t="shared" si="63"/>
        <v>  4,814,943 </v>
      </c>
      <c r="G67" s="133" t="str">
        <f t="shared" si="63"/>
        <v>  6,018,679 </v>
      </c>
      <c r="H67" s="133" t="str">
        <f t="shared" si="63"/>
        <v>  7,222,415 </v>
      </c>
      <c r="I67" s="133" t="str">
        <f t="shared" si="63"/>
        <v>  8,426,150 </v>
      </c>
      <c r="J67" s="73"/>
      <c r="K67" s="133" t="str">
        <f t="shared" ref="K67:Q67" si="64">K51+K45+K39+K57+K63</f>
        <v>  3,469,573 </v>
      </c>
      <c r="L67" s="133" t="str">
        <f t="shared" si="64"/>
        <v>  6,542,721 </v>
      </c>
      <c r="M67" s="133" t="str">
        <f t="shared" si="64"/>
        <v>  9,266,507 </v>
      </c>
      <c r="N67" s="133" t="str">
        <f t="shared" si="64"/>
        <v>  11,682,174 </v>
      </c>
      <c r="O67" s="133" t="str">
        <f t="shared" si="64"/>
        <v>  13,825,896 </v>
      </c>
      <c r="P67" s="133" t="str">
        <f t="shared" si="64"/>
        <v>  15,729,423 </v>
      </c>
      <c r="Q67" s="133" t="str">
        <f t="shared" si="64"/>
        <v>  17,420,649 </v>
      </c>
    </row>
    <row r="68" ht="14.25" customHeight="1">
      <c r="A68" s="130" t="s">
        <v>222</v>
      </c>
      <c r="B68" s="130"/>
      <c r="C68" s="133" t="str">
        <f t="shared" ref="C68:I68" si="65">C52+C46+C40+C58+C64</f>
        <v>  30,194,174 </v>
      </c>
      <c r="D68" s="133" t="str">
        <f t="shared" si="65"/>
        <v>  28,990,438 </v>
      </c>
      <c r="E68" s="133" t="str">
        <f t="shared" si="65"/>
        <v>  27,786,702 </v>
      </c>
      <c r="F68" s="133" t="str">
        <f t="shared" si="65"/>
        <v>  26,582,967 </v>
      </c>
      <c r="G68" s="133" t="str">
        <f t="shared" si="65"/>
        <v>  25,379,231 </v>
      </c>
      <c r="H68" s="133" t="str">
        <f t="shared" si="65"/>
        <v>  24,175,495 </v>
      </c>
      <c r="I68" s="133" t="str">
        <f t="shared" si="65"/>
        <v>  22,971,759 </v>
      </c>
      <c r="J68" s="73"/>
      <c r="K68" s="133" t="str">
        <f t="shared" ref="K68:Q68" si="66">K52+K46+K40+K58+K64</f>
        <v>  27,928,337 </v>
      </c>
      <c r="L68" s="133" t="str">
        <f t="shared" si="66"/>
        <v>  24,855,189 </v>
      </c>
      <c r="M68" s="133" t="str">
        <f t="shared" si="66"/>
        <v>  22,131,403 </v>
      </c>
      <c r="N68" s="133" t="str">
        <f t="shared" si="66"/>
        <v>  19,715,735 </v>
      </c>
      <c r="O68" s="133" t="str">
        <f t="shared" si="66"/>
        <v>  17,572,014 </v>
      </c>
      <c r="P68" s="133" t="str">
        <f t="shared" si="66"/>
        <v>  15,668,486 </v>
      </c>
      <c r="Q68" s="133" t="str">
        <f t="shared" si="66"/>
        <v>  13,977,261 </v>
      </c>
    </row>
    <row r="69" ht="14.25" customHeight="1">
      <c r="A69" s="134"/>
      <c r="B69" s="134"/>
      <c r="C69" s="135"/>
      <c r="D69" s="135"/>
      <c r="E69" s="135"/>
      <c r="F69" s="135"/>
      <c r="G69" s="135"/>
      <c r="H69" s="135"/>
      <c r="I69" s="135"/>
      <c r="J69" s="111"/>
    </row>
    <row r="70" ht="14.25" customHeight="1">
      <c r="A70" s="111"/>
      <c r="B70" s="111"/>
      <c r="C70" s="111"/>
      <c r="D70" s="111"/>
      <c r="E70" s="111"/>
      <c r="F70" s="111"/>
      <c r="G70" s="111"/>
      <c r="H70" s="111"/>
      <c r="I70" s="111"/>
      <c r="J70" s="111"/>
    </row>
    <row r="71" ht="14.25" customHeight="1">
      <c r="A71" s="136" t="s">
        <v>230</v>
      </c>
      <c r="B71" s="137" t="s">
        <v>231</v>
      </c>
      <c r="C71" s="137" t="s">
        <v>232</v>
      </c>
      <c r="D71" s="111"/>
      <c r="E71" s="111"/>
      <c r="F71" s="111"/>
      <c r="G71" s="111"/>
      <c r="H71" s="111"/>
      <c r="I71" s="111"/>
      <c r="J71" s="111"/>
    </row>
    <row r="72" ht="14.25" customHeight="1">
      <c r="A72" s="137" t="s">
        <v>233</v>
      </c>
      <c r="B72" s="138" t="s">
        <v>234</v>
      </c>
      <c r="C72" s="139" t="s">
        <v>235</v>
      </c>
      <c r="D72" s="111"/>
      <c r="E72" s="111"/>
      <c r="F72" s="111"/>
      <c r="G72" s="111"/>
      <c r="H72" s="111"/>
      <c r="I72" s="111"/>
      <c r="J72" s="111"/>
    </row>
    <row r="73" ht="14.25" customHeight="1">
      <c r="A73" s="137" t="s">
        <v>124</v>
      </c>
      <c r="B73" s="113">
        <v>0.0</v>
      </c>
      <c r="C73" s="113">
        <v>0.0</v>
      </c>
      <c r="D73" s="111"/>
      <c r="E73" s="111"/>
      <c r="F73" s="111"/>
      <c r="G73" s="111"/>
      <c r="H73" s="111"/>
      <c r="I73" s="111"/>
      <c r="J73" s="111"/>
    </row>
    <row r="74" ht="14.25" customHeight="1">
      <c r="A74" s="140" t="s">
        <v>218</v>
      </c>
      <c r="B74" s="113">
        <v>0.0317</v>
      </c>
      <c r="C74" s="113">
        <v>0.1</v>
      </c>
      <c r="D74" s="112"/>
      <c r="E74" s="111"/>
      <c r="F74" s="111"/>
      <c r="G74" s="111"/>
      <c r="H74" s="111"/>
      <c r="I74" s="111"/>
      <c r="J74" s="111"/>
    </row>
    <row r="75" ht="14.25" customHeight="1">
      <c r="A75" s="140" t="s">
        <v>224</v>
      </c>
      <c r="B75" s="141">
        <v>0.1</v>
      </c>
      <c r="C75" s="113">
        <v>0.1</v>
      </c>
      <c r="D75" s="111"/>
      <c r="E75" s="111"/>
      <c r="F75" s="111"/>
      <c r="G75" s="111"/>
      <c r="H75" s="111"/>
      <c r="I75" s="111"/>
      <c r="J75" s="111"/>
    </row>
    <row r="76" ht="14.25" customHeight="1">
      <c r="A76" s="111" t="s">
        <v>236</v>
      </c>
      <c r="B76" s="141">
        <v>0.1</v>
      </c>
      <c r="C76" s="141">
        <v>0.4</v>
      </c>
      <c r="D76" s="111"/>
      <c r="E76" s="111"/>
      <c r="F76" s="111"/>
      <c r="G76" s="111"/>
      <c r="H76" s="111"/>
      <c r="I76" s="111"/>
      <c r="J76" s="111"/>
    </row>
    <row r="77" ht="14.25" customHeight="1">
      <c r="A77" s="111" t="s">
        <v>180</v>
      </c>
      <c r="B77" s="141">
        <v>0.1188</v>
      </c>
      <c r="C77" s="141">
        <v>0.15</v>
      </c>
      <c r="D77" s="111"/>
      <c r="E77" s="111"/>
      <c r="F77" s="111"/>
      <c r="G77" s="111"/>
      <c r="H77" s="111"/>
      <c r="I77" s="111"/>
      <c r="J77" s="111"/>
    </row>
    <row r="78" ht="14.25" customHeight="1">
      <c r="A78" s="140" t="s">
        <v>237</v>
      </c>
      <c r="B78" s="141">
        <v>0.0633</v>
      </c>
      <c r="C78" s="141">
        <v>0.15</v>
      </c>
      <c r="D78" s="111"/>
      <c r="E78" s="111"/>
      <c r="F78" s="111"/>
      <c r="G78" s="111"/>
      <c r="H78" s="111"/>
      <c r="I78" s="111"/>
      <c r="J78" s="111"/>
    </row>
    <row r="79" ht="14.25" customHeight="1">
      <c r="A79" s="137" t="s">
        <v>230</v>
      </c>
      <c r="B79" s="113"/>
      <c r="C79" s="112"/>
      <c r="D79" s="111"/>
      <c r="E79" s="111"/>
      <c r="F79" s="111"/>
      <c r="G79" s="111"/>
      <c r="H79" s="111"/>
      <c r="I79" s="111"/>
      <c r="J79" s="111"/>
    </row>
    <row r="80" ht="14.25" customHeight="1">
      <c r="A80" s="140" t="s">
        <v>238</v>
      </c>
      <c r="B80" s="112">
        <v>0.2</v>
      </c>
      <c r="C80" s="112">
        <v>0.2</v>
      </c>
      <c r="D80" s="111"/>
      <c r="E80" s="111"/>
      <c r="F80" s="111"/>
      <c r="G80" s="111"/>
      <c r="H80" s="111"/>
      <c r="I80" s="111"/>
      <c r="J80" s="111"/>
    </row>
    <row r="81" ht="14.25" customHeight="1">
      <c r="A81" s="111"/>
      <c r="B81" s="111"/>
      <c r="C81" s="111"/>
      <c r="D81" s="111"/>
      <c r="E81" s="111"/>
      <c r="F81" s="111"/>
      <c r="G81" s="111"/>
      <c r="H81" s="111"/>
      <c r="I81" s="111"/>
      <c r="J81" s="111"/>
    </row>
    <row r="82" ht="14.25" customHeight="1">
      <c r="A82" s="111"/>
      <c r="B82" s="111"/>
      <c r="C82" s="111"/>
      <c r="D82" s="111"/>
      <c r="E82" s="112"/>
      <c r="F82" s="111"/>
      <c r="G82" s="111"/>
      <c r="H82" s="111"/>
      <c r="I82" s="111"/>
      <c r="J82" s="111"/>
    </row>
    <row r="83" ht="14.25" customHeight="1">
      <c r="A83" s="25" t="s">
        <v>239</v>
      </c>
      <c r="K83" s="142"/>
      <c r="L83" s="142"/>
      <c r="M83" s="142"/>
      <c r="N83" s="142"/>
      <c r="O83" s="142"/>
      <c r="P83" s="142"/>
      <c r="Q83" s="142"/>
    </row>
    <row r="84" ht="14.25" customHeight="1">
      <c r="A84" s="143"/>
      <c r="B84" s="143"/>
      <c r="C84" s="142"/>
      <c r="D84" s="142"/>
      <c r="E84" s="142"/>
      <c r="F84" s="142"/>
      <c r="G84" s="142"/>
      <c r="H84" s="142"/>
      <c r="I84" s="142"/>
      <c r="J84" s="142"/>
      <c r="K84" s="142"/>
      <c r="L84" s="142"/>
      <c r="M84" s="142"/>
      <c r="N84" s="142"/>
      <c r="O84" s="142"/>
      <c r="P84" s="142"/>
      <c r="Q84" s="142"/>
    </row>
    <row r="85" ht="14.25" customHeight="1">
      <c r="A85" s="144" t="s">
        <v>190</v>
      </c>
      <c r="B85" s="145" t="s">
        <v>240</v>
      </c>
      <c r="C85" s="146" t="s">
        <v>193</v>
      </c>
      <c r="D85" s="146" t="s">
        <v>194</v>
      </c>
      <c r="E85" s="146" t="s">
        <v>195</v>
      </c>
      <c r="F85" s="146" t="s">
        <v>196</v>
      </c>
      <c r="G85" s="146" t="s">
        <v>197</v>
      </c>
      <c r="H85" s="146" t="s">
        <v>198</v>
      </c>
      <c r="I85" s="146" t="s">
        <v>199</v>
      </c>
      <c r="J85" s="147"/>
      <c r="K85" s="147"/>
      <c r="L85" s="147"/>
      <c r="M85" s="142"/>
      <c r="N85" s="142"/>
      <c r="O85" s="142"/>
      <c r="P85" s="142"/>
      <c r="Q85" s="142"/>
    </row>
    <row r="86" ht="14.25" customHeight="1">
      <c r="A86" s="148" t="s">
        <v>182</v>
      </c>
      <c r="B86" s="149">
        <v>5.0</v>
      </c>
      <c r="C86" s="131" t="str">
        <f>'1.Project Cost and MOF'!$D$10/5</f>
        <v>  149,729 </v>
      </c>
      <c r="D86" s="131" t="str">
        <f>'1.Project Cost and MOF'!$D$10/5</f>
        <v>  149,729 </v>
      </c>
      <c r="E86" s="131" t="str">
        <f>'1.Project Cost and MOF'!$D$10/5</f>
        <v>  149,729 </v>
      </c>
      <c r="F86" s="131" t="str">
        <f>'1.Project Cost and MOF'!$D$10/5</f>
        <v>  149,729 </v>
      </c>
      <c r="G86" s="131" t="str">
        <f>'1.Project Cost and MOF'!$D$10/5</f>
        <v>  149,729 </v>
      </c>
      <c r="H86" s="131">
        <v>0.0</v>
      </c>
      <c r="I86" s="131">
        <v>0.0</v>
      </c>
      <c r="J86" s="147"/>
      <c r="K86" s="147"/>
      <c r="L86" s="147"/>
      <c r="M86" s="142"/>
      <c r="N86" s="142"/>
      <c r="O86" s="142"/>
      <c r="P86" s="142"/>
      <c r="Q86" s="142"/>
    </row>
    <row r="87" ht="14.25" customHeight="1">
      <c r="A87" s="150" t="s">
        <v>241</v>
      </c>
      <c r="B87" s="151"/>
      <c r="C87" s="133" t="str">
        <f t="shared" ref="C87:I87" si="67">SUM(C85:C86)</f>
        <v>  149,729 </v>
      </c>
      <c r="D87" s="133" t="str">
        <f t="shared" si="67"/>
        <v>  149,729 </v>
      </c>
      <c r="E87" s="133" t="str">
        <f t="shared" si="67"/>
        <v>  149,729 </v>
      </c>
      <c r="F87" s="133" t="str">
        <f t="shared" si="67"/>
        <v>  149,729 </v>
      </c>
      <c r="G87" s="133" t="str">
        <f t="shared" si="67"/>
        <v>  149,729 </v>
      </c>
      <c r="H87" s="133" t="str">
        <f t="shared" si="67"/>
        <v>  -   </v>
      </c>
      <c r="I87" s="133" t="str">
        <f t="shared" si="67"/>
        <v>  -   </v>
      </c>
      <c r="J87" s="152"/>
      <c r="K87" s="152"/>
      <c r="L87" s="152"/>
      <c r="M87" s="142"/>
      <c r="N87" s="142"/>
      <c r="O87" s="142"/>
      <c r="P87" s="142"/>
      <c r="Q87" s="142"/>
    </row>
    <row r="88" ht="14.25" customHeight="1">
      <c r="A88" s="142"/>
      <c r="B88" s="142"/>
      <c r="C88" s="147"/>
      <c r="D88" s="147"/>
      <c r="E88" s="147"/>
      <c r="F88" s="147"/>
      <c r="G88" s="147"/>
      <c r="H88" s="147"/>
      <c r="I88" s="147"/>
      <c r="J88" s="147"/>
      <c r="K88" s="147"/>
      <c r="L88" s="147"/>
      <c r="M88" s="142"/>
      <c r="N88" s="142"/>
      <c r="O88" s="142"/>
      <c r="P88" s="142"/>
      <c r="Q88" s="142"/>
    </row>
    <row r="89" ht="14.25" customHeight="1"/>
    <row r="90" ht="14.25" customHeight="1"/>
    <row r="91" ht="14.25" customHeight="1">
      <c r="A91" s="153"/>
      <c r="B91" s="142"/>
      <c r="C91" s="142"/>
      <c r="D91" s="142"/>
      <c r="E91" s="142"/>
      <c r="F91" s="142"/>
      <c r="G91" s="142"/>
      <c r="H91" s="142"/>
      <c r="I91" s="142"/>
      <c r="J91" s="142"/>
      <c r="K91" s="142"/>
    </row>
    <row r="92" ht="14.25" customHeight="1">
      <c r="A92" s="121" t="s">
        <v>242</v>
      </c>
      <c r="I92" s="154"/>
      <c r="J92" s="154"/>
      <c r="K92" s="154"/>
    </row>
    <row r="93" ht="14.25" customHeight="1">
      <c r="A93" s="143"/>
      <c r="B93" s="142"/>
      <c r="C93" s="142"/>
      <c r="D93" s="142"/>
      <c r="E93" s="142"/>
      <c r="F93" s="142"/>
      <c r="G93" s="142"/>
      <c r="H93" s="142"/>
      <c r="I93" s="142"/>
      <c r="J93" s="142"/>
      <c r="K93" s="142"/>
    </row>
    <row r="94" ht="14.25" customHeight="1">
      <c r="A94" s="114" t="s">
        <v>190</v>
      </c>
      <c r="B94" s="115" t="s">
        <v>193</v>
      </c>
      <c r="C94" s="115" t="s">
        <v>194</v>
      </c>
      <c r="D94" s="115" t="s">
        <v>195</v>
      </c>
      <c r="E94" s="115" t="s">
        <v>196</v>
      </c>
      <c r="F94" s="115" t="s">
        <v>197</v>
      </c>
      <c r="G94" s="115" t="s">
        <v>198</v>
      </c>
      <c r="H94" s="115" t="s">
        <v>199</v>
      </c>
      <c r="I94" s="154"/>
      <c r="J94" s="154"/>
      <c r="K94" s="154"/>
    </row>
    <row r="95" ht="14.25" customHeight="1">
      <c r="A95" s="155" t="s">
        <v>243</v>
      </c>
      <c r="B95" s="156" t="str">
        <f>'6.Cons Profit &amp; Loss'!B49</f>
        <v>2,929,759 </v>
      </c>
      <c r="C95" s="156" t="str">
        <f>'6.Cons Profit &amp; Loss'!C49</f>
        <v>4,223,859 </v>
      </c>
      <c r="D95" s="156" t="str">
        <f>'6.Cons Profit &amp; Loss'!D49</f>
        <v>5,679,904 </v>
      </c>
      <c r="E95" s="156" t="str">
        <f>'6.Cons Profit &amp; Loss'!E49</f>
        <v>7,271,422 </v>
      </c>
      <c r="F95" s="156" t="str">
        <f>'6.Cons Profit &amp; Loss'!F49</f>
        <v>9,009,685 </v>
      </c>
      <c r="G95" s="156" t="str">
        <f>'6.Cons Profit &amp; Loss'!G49</f>
        <v>10,732,336 </v>
      </c>
      <c r="H95" s="156" t="str">
        <f>'6.Cons Profit &amp; Loss'!H49</f>
        <v>12,246,104 </v>
      </c>
      <c r="I95" s="157"/>
      <c r="J95" s="157"/>
      <c r="K95" s="157"/>
    </row>
    <row r="96" ht="14.25" customHeight="1">
      <c r="A96" s="155" t="s">
        <v>244</v>
      </c>
      <c r="B96" s="156" t="str">
        <f>'6.Cons Profit &amp; Loss'!B42</f>
        <v>1,203,736 </v>
      </c>
      <c r="C96" s="156" t="str">
        <f>'6.Cons Profit &amp; Loss'!C42</f>
        <v>1,203,736 </v>
      </c>
      <c r="D96" s="156" t="str">
        <f>'6.Cons Profit &amp; Loss'!D42</f>
        <v>1,203,736 </v>
      </c>
      <c r="E96" s="156" t="str">
        <f>'6.Cons Profit &amp; Loss'!E42</f>
        <v>1,203,736 </v>
      </c>
      <c r="F96" s="156" t="str">
        <f>'6.Cons Profit &amp; Loss'!F42</f>
        <v>1,203,736 </v>
      </c>
      <c r="G96" s="156" t="str">
        <f>'6.Cons Profit &amp; Loss'!G42</f>
        <v>1,203,736 </v>
      </c>
      <c r="H96" s="156" t="str">
        <f>'6.Cons Profit &amp; Loss'!H42</f>
        <v>1,203,736 </v>
      </c>
      <c r="I96" s="157"/>
      <c r="J96" s="157"/>
      <c r="K96" s="157"/>
    </row>
    <row r="97" ht="14.25" customHeight="1">
      <c r="A97" s="155" t="s">
        <v>245</v>
      </c>
      <c r="B97" s="156" t="str">
        <f>'3.Other Exp &amp; Taxes'!K66</f>
        <v>3,469,573 </v>
      </c>
      <c r="C97" s="156" t="str">
        <f>'3.Other Exp &amp; Taxes'!L66</f>
        <v>3,073,148 </v>
      </c>
      <c r="D97" s="156" t="str">
        <f>'3.Other Exp &amp; Taxes'!M66</f>
        <v>2,723,786 </v>
      </c>
      <c r="E97" s="156" t="str">
        <f>'3.Other Exp &amp; Taxes'!N66</f>
        <v>2,415,667 </v>
      </c>
      <c r="F97" s="156" t="str">
        <f>'3.Other Exp &amp; Taxes'!O66</f>
        <v>2,143,722 </v>
      </c>
      <c r="G97" s="156" t="str">
        <f>'3.Other Exp &amp; Taxes'!P66</f>
        <v>1,903,527 </v>
      </c>
      <c r="H97" s="156" t="str">
        <f>'3.Other Exp &amp; Taxes'!Q66</f>
        <v>1,691,226 </v>
      </c>
      <c r="I97" s="157"/>
      <c r="J97" s="157"/>
      <c r="K97" s="157"/>
    </row>
    <row r="98" ht="14.25" customHeight="1">
      <c r="A98" s="155" t="s">
        <v>246</v>
      </c>
      <c r="B98" s="156" t="str">
        <f t="shared" ref="B98:H98" si="68">B95+B96-B97</f>
        <v>663,922 </v>
      </c>
      <c r="C98" s="156" t="str">
        <f t="shared" si="68"/>
        <v>2,354,447 </v>
      </c>
      <c r="D98" s="156" t="str">
        <f t="shared" si="68"/>
        <v>4,159,854 </v>
      </c>
      <c r="E98" s="156" t="str">
        <f t="shared" si="68"/>
        <v>6,059,490 </v>
      </c>
      <c r="F98" s="156" t="str">
        <f t="shared" si="68"/>
        <v>8,069,699 </v>
      </c>
      <c r="G98" s="156" t="str">
        <f t="shared" si="68"/>
        <v>10,032,544 </v>
      </c>
      <c r="H98" s="156" t="str">
        <f t="shared" si="68"/>
        <v>11,758,614 </v>
      </c>
      <c r="I98" s="157"/>
      <c r="J98" s="157"/>
      <c r="K98" s="157"/>
    </row>
    <row r="99" ht="14.25" customHeight="1">
      <c r="A99" s="158" t="s">
        <v>247</v>
      </c>
      <c r="B99" s="159" t="str">
        <f t="shared" ref="B99:H99" si="69">IF(B98&gt;0,B98*$B$102,"0")</f>
        <v>172,620 </v>
      </c>
      <c r="C99" s="159" t="str">
        <f t="shared" si="69"/>
        <v>612,156 </v>
      </c>
      <c r="D99" s="159" t="str">
        <f t="shared" si="69"/>
        <v>1,081,562 </v>
      </c>
      <c r="E99" s="159" t="str">
        <f t="shared" si="69"/>
        <v>1,575,467 </v>
      </c>
      <c r="F99" s="159" t="str">
        <f t="shared" si="69"/>
        <v>2,098,122 </v>
      </c>
      <c r="G99" s="159" t="str">
        <f t="shared" si="69"/>
        <v>2,608,462 </v>
      </c>
      <c r="H99" s="159" t="str">
        <f t="shared" si="69"/>
        <v>3,057,240 </v>
      </c>
      <c r="I99" s="157"/>
      <c r="J99" s="157"/>
      <c r="K99" s="157"/>
    </row>
    <row r="100" ht="14.25" customHeight="1">
      <c r="A100" s="160"/>
      <c r="B100" s="142"/>
      <c r="C100" s="142"/>
      <c r="D100" s="142"/>
      <c r="E100" s="142"/>
      <c r="F100" s="142"/>
      <c r="G100" s="142"/>
      <c r="H100" s="142"/>
      <c r="I100" s="142"/>
      <c r="J100" s="142"/>
      <c r="K100" s="142"/>
    </row>
    <row r="101" ht="14.25" customHeight="1">
      <c r="A101" s="160"/>
      <c r="B101" s="147"/>
      <c r="C101" s="147"/>
      <c r="D101" s="147"/>
      <c r="E101" s="147"/>
      <c r="F101" s="147"/>
      <c r="G101" s="147"/>
      <c r="H101" s="147"/>
      <c r="I101" s="147"/>
      <c r="J101" s="147"/>
      <c r="K101" s="147"/>
    </row>
    <row r="102" ht="14.25" customHeight="1">
      <c r="A102" s="161" t="s">
        <v>248</v>
      </c>
      <c r="B102" s="162">
        <v>0.26</v>
      </c>
      <c r="C102" s="147"/>
      <c r="D102" s="147"/>
      <c r="E102" s="147"/>
      <c r="F102" s="147"/>
      <c r="G102" s="147"/>
      <c r="H102" s="147"/>
      <c r="I102" s="147"/>
      <c r="J102" s="147"/>
      <c r="K102" s="147"/>
    </row>
    <row r="103" ht="14.25" customHeight="1">
      <c r="A103" s="142"/>
      <c r="B103" s="142"/>
      <c r="C103" s="142"/>
      <c r="D103" s="142"/>
      <c r="E103" s="142"/>
      <c r="F103" s="142"/>
      <c r="G103" s="142"/>
      <c r="H103" s="142"/>
      <c r="I103" s="142"/>
      <c r="J103" s="142"/>
      <c r="K103" s="142"/>
    </row>
    <row r="104" ht="28.5" customHeight="1">
      <c r="A104" s="163" t="s">
        <v>249</v>
      </c>
      <c r="I104" s="147"/>
      <c r="J104" s="147"/>
      <c r="K104" s="147"/>
    </row>
  </sheetData>
  <mergeCells count="8">
    <mergeCell ref="A83:J83"/>
    <mergeCell ref="A92:H92"/>
    <mergeCell ref="A104:H104"/>
    <mergeCell ref="A2:K2"/>
    <mergeCell ref="A28:O28"/>
    <mergeCell ref="C31:I31"/>
    <mergeCell ref="K31:Q31"/>
    <mergeCell ref="A29:Q29"/>
  </mergeCells>
  <printOptions/>
  <pageMargins bottom="0.75" footer="0.0" header="0.0" left="0.7" right="0.7" top="0.75"/>
  <pageSetup paperSize="9" scale="51"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8.71"/>
    <col customWidth="1" min="3" max="3" width="43.86"/>
    <col customWidth="1" min="4" max="4" width="8.71"/>
    <col customWidth="1" min="5" max="6" width="14.14"/>
    <col customWidth="1" min="7" max="7" width="11.43"/>
    <col customWidth="1" min="8" max="10" width="8.71"/>
    <col customWidth="1" min="11" max="11" width="6.86"/>
    <col customWidth="1" min="12" max="12" width="50.57"/>
    <col customWidth="1" min="13" max="13" width="29.86"/>
  </cols>
  <sheetData>
    <row r="1" ht="14.25" customHeight="1"/>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c r="B58" s="164" t="s">
        <v>82</v>
      </c>
      <c r="C58" s="164" t="s">
        <v>190</v>
      </c>
      <c r="D58" s="164" t="s">
        <v>121</v>
      </c>
      <c r="E58" s="164" t="s">
        <v>250</v>
      </c>
      <c r="F58" s="164" t="s">
        <v>251</v>
      </c>
      <c r="G58" s="164" t="s">
        <v>252</v>
      </c>
    </row>
    <row r="59" ht="14.25" customHeight="1">
      <c r="B59" s="165" t="s">
        <v>19</v>
      </c>
      <c r="C59" s="85" t="s">
        <v>253</v>
      </c>
      <c r="D59" s="85"/>
      <c r="E59" s="85"/>
      <c r="F59" s="85"/>
      <c r="G59" s="85"/>
      <c r="K59" s="166" t="s">
        <v>82</v>
      </c>
      <c r="L59" s="167" t="s">
        <v>190</v>
      </c>
      <c r="M59" s="167" t="s">
        <v>254</v>
      </c>
    </row>
    <row r="60" ht="14.25" customHeight="1">
      <c r="B60" s="85">
        <v>1.0</v>
      </c>
      <c r="C60" s="85" t="str">
        <f>'2.Capex Details'!C18</f>
        <v>Custom Hiring</v>
      </c>
      <c r="D60" s="85">
        <v>1.0</v>
      </c>
      <c r="E60" s="168" t="str">
        <f>'2.Capex Details'!G32</f>
        <v>  2,075,000 </v>
      </c>
      <c r="F60" s="168" t="str">
        <f>D60*E60</f>
        <v>  2,075,000 </v>
      </c>
      <c r="G60" s="169" t="str">
        <f>F61/$F$74</f>
        <v>6.45%</v>
      </c>
      <c r="K60" s="170" t="s">
        <v>19</v>
      </c>
      <c r="L60" s="171" t="s">
        <v>253</v>
      </c>
      <c r="M60" s="172"/>
    </row>
    <row r="61" ht="14.25" customHeight="1">
      <c r="B61" s="173" t="s">
        <v>149</v>
      </c>
      <c r="C61" s="5"/>
      <c r="D61" s="5"/>
      <c r="E61" s="6"/>
      <c r="F61" s="168" t="str">
        <f>SUM(F60)</f>
        <v>  2,075,000 </v>
      </c>
      <c r="G61" s="174"/>
      <c r="K61" s="175">
        <v>1.0</v>
      </c>
      <c r="L61" s="172"/>
      <c r="M61" s="176"/>
    </row>
    <row r="62" ht="14.25" customHeight="1">
      <c r="B62" s="165" t="s">
        <v>255</v>
      </c>
      <c r="C62" s="85" t="s">
        <v>256</v>
      </c>
      <c r="D62" s="85"/>
      <c r="E62" s="85"/>
      <c r="F62" s="85"/>
      <c r="G62" s="177"/>
      <c r="K62" s="178" t="str">
        <f t="shared" ref="K62:L62" si="1">B62</f>
        <v>B </v>
      </c>
      <c r="L62" s="179" t="str">
        <f t="shared" si="1"/>
        <v>Post Harvest</v>
      </c>
      <c r="M62" s="176"/>
    </row>
    <row r="63" ht="14.25" customHeight="1">
      <c r="B63" s="85">
        <v>1.0</v>
      </c>
      <c r="C63" s="85" t="str">
        <f>'2.Capex Details'!C6</f>
        <v>Construction of Warehouse </v>
      </c>
      <c r="D63" s="85">
        <v>1.0</v>
      </c>
      <c r="E63" s="168" t="str">
        <f>'2.Capex Details'!G6</f>
        <v>  21,187,103 </v>
      </c>
      <c r="F63" s="168" t="str">
        <f t="shared" ref="F63:F67" si="2">D63*E63</f>
        <v>  21,187,103 </v>
      </c>
      <c r="G63" s="180" t="str">
        <f>F68/$F$74</f>
        <v>91.22%</v>
      </c>
      <c r="K63" s="175">
        <v>1.0</v>
      </c>
      <c r="L63" s="172" t="str">
        <f t="shared" ref="L63:L67" si="3">C63</f>
        <v>Construction of Warehouse </v>
      </c>
      <c r="M63" s="176" t="s">
        <v>257</v>
      </c>
    </row>
    <row r="64" ht="14.25" customHeight="1">
      <c r="B64" s="85">
        <v>2.0</v>
      </c>
      <c r="C64" s="85" t="str">
        <f>'2.Capex Details'!C7</f>
        <v>Construction of Dal Mill Shed</v>
      </c>
      <c r="D64" s="85">
        <v>1.0</v>
      </c>
      <c r="E64" s="168" t="str">
        <f>'2.Capex Details'!G7</f>
        <v>  3,201,502 </v>
      </c>
      <c r="F64" s="168" t="str">
        <f t="shared" si="2"/>
        <v>  3,201,502 </v>
      </c>
      <c r="G64" s="20"/>
      <c r="K64" s="175">
        <v>2.0</v>
      </c>
      <c r="L64" s="172" t="str">
        <f t="shared" si="3"/>
        <v>Construction of Dal Mill Shed</v>
      </c>
      <c r="M64" s="176" t="s">
        <v>257</v>
      </c>
    </row>
    <row r="65" ht="14.25" customHeight="1">
      <c r="B65" s="85">
        <v>3.0</v>
      </c>
      <c r="C65" s="85" t="str">
        <f>'2.Capex Details'!C8</f>
        <v>Construction of Weighing Bridge &amp; Security Cabin</v>
      </c>
      <c r="D65" s="85">
        <v>1.0</v>
      </c>
      <c r="E65" s="168" t="str">
        <f>'2.Capex Details'!G8</f>
        <v>  413,671 </v>
      </c>
      <c r="F65" s="168" t="str">
        <f t="shared" si="2"/>
        <v>  413,671 </v>
      </c>
      <c r="G65" s="20"/>
      <c r="K65" s="175">
        <v>3.0</v>
      </c>
      <c r="L65" s="172" t="str">
        <f t="shared" si="3"/>
        <v>Construction of Weighing Bridge &amp; Security Cabin</v>
      </c>
      <c r="M65" s="176" t="s">
        <v>258</v>
      </c>
    </row>
    <row r="66" ht="14.25" customHeight="1">
      <c r="B66" s="85">
        <v>4.0</v>
      </c>
      <c r="C66" s="85" t="str">
        <f>'2.Capex Details'!C34</f>
        <v>Dal Mill</v>
      </c>
      <c r="D66" s="85">
        <v>1.0</v>
      </c>
      <c r="E66" s="168" t="str">
        <f>'2.Capex Details'!G51</f>
        <v>  3,800,834 </v>
      </c>
      <c r="F66" s="168" t="str">
        <f t="shared" si="2"/>
        <v>  3,800,834 </v>
      </c>
      <c r="G66" s="20"/>
      <c r="K66" s="175">
        <v>4.0</v>
      </c>
      <c r="L66" s="172" t="str">
        <f t="shared" si="3"/>
        <v>Dal Mill</v>
      </c>
      <c r="M66" s="176" t="s">
        <v>258</v>
      </c>
    </row>
    <row r="67" ht="14.25" customHeight="1">
      <c r="B67" s="85">
        <v>9.0</v>
      </c>
      <c r="C67" s="85" t="str">
        <f>'2.Capex Details'!C52</f>
        <v>Weighing Bridge</v>
      </c>
      <c r="D67" s="85">
        <v>1.0</v>
      </c>
      <c r="E67" s="168" t="str">
        <f>'2.Capex Details'!G55</f>
        <v>  719,800 </v>
      </c>
      <c r="F67" s="168" t="str">
        <f t="shared" si="2"/>
        <v>  719,800 </v>
      </c>
      <c r="G67" s="21"/>
      <c r="K67" s="175">
        <v>8.0</v>
      </c>
      <c r="L67" s="172" t="str">
        <f t="shared" si="3"/>
        <v>Weighing Bridge</v>
      </c>
      <c r="M67" s="176" t="s">
        <v>257</v>
      </c>
    </row>
    <row r="68" ht="14.25" customHeight="1">
      <c r="B68" s="173" t="s">
        <v>149</v>
      </c>
      <c r="C68" s="6"/>
      <c r="D68" s="85"/>
      <c r="E68" s="85"/>
      <c r="F68" s="168" t="str">
        <f>SUM(F63:F67)</f>
        <v>  29,322,910 </v>
      </c>
      <c r="G68" s="174"/>
      <c r="K68" s="178" t="str">
        <f t="shared" ref="K68:L68" si="4">B69</f>
        <v>C</v>
      </c>
      <c r="L68" s="179" t="str">
        <f t="shared" si="4"/>
        <v>Others</v>
      </c>
      <c r="M68" s="176"/>
    </row>
    <row r="69" ht="14.25" customHeight="1">
      <c r="B69" s="165" t="s">
        <v>170</v>
      </c>
      <c r="C69" s="85" t="s">
        <v>259</v>
      </c>
      <c r="D69" s="85"/>
      <c r="E69" s="85"/>
      <c r="F69" s="85"/>
      <c r="G69" s="174"/>
      <c r="K69" s="175">
        <v>1.0</v>
      </c>
      <c r="L69" s="181" t="str">
        <f t="shared" ref="L69:L71" si="5">C70</f>
        <v>Furniture &amp; Fixture</v>
      </c>
      <c r="M69" s="176" t="s">
        <v>257</v>
      </c>
    </row>
    <row r="70" ht="14.25" customHeight="1">
      <c r="B70" s="85">
        <v>1.0</v>
      </c>
      <c r="C70" s="85" t="s">
        <v>260</v>
      </c>
      <c r="D70" s="85">
        <v>1.0</v>
      </c>
      <c r="E70" s="168" t="str">
        <f>'2.Capex Details'!F91</f>
        <v>  -   </v>
      </c>
      <c r="F70" s="168" t="str">
        <f t="shared" ref="F70:F72" si="6">D70*E70</f>
        <v>  -   </v>
      </c>
      <c r="G70" s="180" t="str">
        <f>F73/$F$74</f>
        <v>2.33%</v>
      </c>
      <c r="K70" s="175">
        <v>2.0</v>
      </c>
      <c r="L70" s="181" t="str">
        <f t="shared" si="5"/>
        <v>IT &amp; IT Infrastracture</v>
      </c>
      <c r="M70" s="176" t="s">
        <v>257</v>
      </c>
    </row>
    <row r="71" ht="14.25" customHeight="1">
      <c r="B71" s="85">
        <v>2.0</v>
      </c>
      <c r="C71" s="85" t="s">
        <v>261</v>
      </c>
      <c r="D71" s="85">
        <v>1.0</v>
      </c>
      <c r="E71" s="168" t="str">
        <f>'2.Capex Details'!F125</f>
        <v>  -   </v>
      </c>
      <c r="F71" s="168" t="str">
        <f t="shared" si="6"/>
        <v>  -   </v>
      </c>
      <c r="G71" s="20"/>
      <c r="K71" s="175">
        <v>3.0</v>
      </c>
      <c r="L71" s="181" t="str">
        <f t="shared" si="5"/>
        <v>Preliminary/Preoperative Expenses</v>
      </c>
      <c r="M71" s="176" t="s">
        <v>257</v>
      </c>
    </row>
    <row r="72" ht="14.25" customHeight="1">
      <c r="B72" s="85">
        <v>3.0</v>
      </c>
      <c r="C72" s="85" t="s">
        <v>262</v>
      </c>
      <c r="D72" s="85">
        <v>1.0</v>
      </c>
      <c r="E72" s="168" t="str">
        <f>'2.Capex Details'!D164</f>
        <v>  748,646 </v>
      </c>
      <c r="F72" s="168" t="str">
        <f t="shared" si="6"/>
        <v>  748,646 </v>
      </c>
      <c r="G72" s="20"/>
      <c r="K72" s="175"/>
      <c r="L72" s="172"/>
      <c r="M72" s="176"/>
    </row>
    <row r="73" ht="14.25" customHeight="1">
      <c r="B73" s="173" t="s">
        <v>149</v>
      </c>
      <c r="C73" s="5"/>
      <c r="D73" s="5"/>
      <c r="E73" s="6"/>
      <c r="F73" s="168" t="str">
        <f>SUM(F70:F72)</f>
        <v>  748,646 </v>
      </c>
      <c r="G73" s="21"/>
      <c r="K73" s="170"/>
      <c r="L73" s="171"/>
      <c r="M73" s="182"/>
    </row>
    <row r="74" ht="14.25" customHeight="1">
      <c r="B74" s="173" t="s">
        <v>263</v>
      </c>
      <c r="C74" s="6"/>
      <c r="D74" s="85"/>
      <c r="E74" s="85"/>
      <c r="F74" s="168" t="str">
        <f>F73+F68+F61</f>
        <v>  32,146,555 </v>
      </c>
      <c r="G74" s="183">
        <v>1.0</v>
      </c>
      <c r="K74" s="175"/>
      <c r="L74" s="172"/>
      <c r="M74" s="176"/>
    </row>
    <row r="75" ht="14.25" customHeight="1">
      <c r="B75" t="s">
        <v>264</v>
      </c>
      <c r="F75" s="184" t="str">
        <f>SUM('1.Project Cost and MOF'!D5:D10)</f>
        <v>  32,146,555 </v>
      </c>
      <c r="K75" s="175"/>
      <c r="L75" s="172"/>
      <c r="M75" s="185"/>
    </row>
    <row r="76" ht="14.25" customHeight="1">
      <c r="F76" s="44" t="str">
        <f>F74-F75</f>
        <v>  -   </v>
      </c>
      <c r="K76" s="175"/>
      <c r="L76" s="172"/>
      <c r="M76" s="185"/>
    </row>
    <row r="77" ht="14.25" customHeight="1">
      <c r="K77" s="175"/>
      <c r="L77" s="172"/>
      <c r="M77" s="185"/>
    </row>
    <row r="78" ht="14.25" customHeight="1">
      <c r="F78" s="44"/>
      <c r="K78" s="170"/>
      <c r="L78" s="171"/>
      <c r="M78" s="182"/>
    </row>
    <row r="79" ht="14.25" customHeight="1">
      <c r="K79" s="175"/>
      <c r="L79" s="172"/>
      <c r="M79" s="176"/>
    </row>
    <row r="80" ht="14.25" customHeight="1">
      <c r="K80" s="175"/>
      <c r="L80" s="172"/>
      <c r="M80" s="176"/>
    </row>
    <row r="81" ht="14.25" customHeight="1">
      <c r="K81" s="175"/>
      <c r="L81" s="172"/>
      <c r="M81" s="176"/>
    </row>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sheetData>
  <mergeCells count="6">
    <mergeCell ref="B61:E61"/>
    <mergeCell ref="B73:E73"/>
    <mergeCell ref="B74:C74"/>
    <mergeCell ref="G70:G73"/>
    <mergeCell ref="B68:C68"/>
    <mergeCell ref="G63:G67"/>
  </mergeCells>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15.43"/>
    <col customWidth="1" min="3" max="3" width="28.14"/>
    <col customWidth="1" min="4" max="4" width="14.71"/>
    <col customWidth="1" min="5" max="5" width="25.86"/>
    <col customWidth="1" min="6" max="6" width="12.14"/>
    <col customWidth="1" min="7" max="7" width="27.29"/>
    <col customWidth="1" min="8" max="8" width="12.29"/>
    <col customWidth="1" min="9" max="9" width="11.71"/>
    <col customWidth="1" min="10" max="11" width="8.71"/>
  </cols>
  <sheetData>
    <row r="1" ht="14.25" customHeight="1"/>
    <row r="2" ht="14.25" customHeight="1">
      <c r="A2" s="25" t="s">
        <v>265</v>
      </c>
      <c r="G2" s="186"/>
    </row>
    <row r="3" ht="14.25" customHeight="1">
      <c r="B3" s="71"/>
      <c r="C3" s="71"/>
      <c r="D3" s="71"/>
      <c r="E3" s="71"/>
      <c r="F3" s="71"/>
      <c r="G3" s="71"/>
    </row>
    <row r="4" ht="14.25" customHeight="1">
      <c r="A4" s="111"/>
      <c r="B4" s="111"/>
      <c r="C4" s="111" t="s">
        <v>266</v>
      </c>
      <c r="D4" s="187" t="str">
        <f>'1.Project Cost and MOF'!E20</f>
        <v>  9,643,967 </v>
      </c>
      <c r="E4" s="111"/>
      <c r="F4" s="111"/>
      <c r="G4" s="111"/>
    </row>
    <row r="5" ht="14.25" customHeight="1">
      <c r="A5" s="111"/>
      <c r="B5" s="111"/>
      <c r="C5" s="111" t="s">
        <v>267</v>
      </c>
      <c r="D5" s="188">
        <v>0.12</v>
      </c>
      <c r="E5" s="111"/>
      <c r="F5" s="111"/>
      <c r="G5" s="111"/>
    </row>
    <row r="6" ht="14.25" customHeight="1">
      <c r="A6" s="111"/>
      <c r="B6" s="111"/>
      <c r="C6" s="111" t="s">
        <v>268</v>
      </c>
      <c r="D6" s="189">
        <v>5.0</v>
      </c>
      <c r="E6" s="111"/>
      <c r="F6" s="111"/>
      <c r="G6" s="111"/>
    </row>
    <row r="7" ht="14.25" customHeight="1">
      <c r="A7" s="111"/>
      <c r="B7" s="111"/>
      <c r="C7" s="111" t="s">
        <v>269</v>
      </c>
      <c r="D7" s="189">
        <v>6.0</v>
      </c>
      <c r="E7" s="111"/>
      <c r="F7" s="111"/>
      <c r="G7" s="111"/>
    </row>
    <row r="8" ht="14.25" customHeight="1">
      <c r="A8" s="111"/>
      <c r="B8" s="111"/>
      <c r="C8" s="111" t="s">
        <v>270</v>
      </c>
      <c r="D8" s="190" t="str">
        <f>PMT(D5/12,(D6-(D7/12))*12,-D4)</f>
        <v>Rs. 232,000.88</v>
      </c>
      <c r="E8" s="190"/>
      <c r="F8" s="191"/>
      <c r="G8" s="111"/>
    </row>
    <row r="9" ht="14.25" customHeight="1">
      <c r="A9" s="114" t="s">
        <v>271</v>
      </c>
      <c r="B9" s="192" t="s">
        <v>272</v>
      </c>
      <c r="C9" s="193" t="s">
        <v>273</v>
      </c>
      <c r="D9" s="193" t="s">
        <v>274</v>
      </c>
      <c r="E9" s="193" t="s">
        <v>275</v>
      </c>
      <c r="F9" s="193" t="s">
        <v>270</v>
      </c>
      <c r="G9" s="193" t="s">
        <v>276</v>
      </c>
    </row>
    <row r="10" ht="14.25" customHeight="1">
      <c r="A10" s="73" t="s">
        <v>277</v>
      </c>
      <c r="B10" s="73" t="s">
        <v>278</v>
      </c>
      <c r="C10" s="116" t="str">
        <f>D4</f>
        <v>  9,643,967 </v>
      </c>
      <c r="D10" s="116" t="str">
        <f t="shared" ref="D10:D69" si="1">C10*$D$5/12</f>
        <v>  96,440 </v>
      </c>
      <c r="E10" s="116" t="str">
        <f t="shared" ref="E10:E69" si="2">F10-D10</f>
        <v>  -   </v>
      </c>
      <c r="F10" s="116" t="str">
        <f t="shared" ref="F10:F15" si="3">D10</f>
        <v>  96,440 </v>
      </c>
      <c r="G10" s="116" t="str">
        <f t="shared" ref="G10:G69" si="4">C10-E10</f>
        <v>  9,643,967 </v>
      </c>
    </row>
    <row r="11" ht="14.25" customHeight="1">
      <c r="A11" s="73"/>
      <c r="B11" s="73" t="s">
        <v>279</v>
      </c>
      <c r="C11" s="116" t="str">
        <f t="shared" ref="C11:C69" si="5">G10</f>
        <v>  9,643,967 </v>
      </c>
      <c r="D11" s="116" t="str">
        <f t="shared" si="1"/>
        <v>  96,440 </v>
      </c>
      <c r="E11" s="116" t="str">
        <f t="shared" si="2"/>
        <v>  -   </v>
      </c>
      <c r="F11" s="116" t="str">
        <f t="shared" si="3"/>
        <v>  96,440 </v>
      </c>
      <c r="G11" s="116" t="str">
        <f t="shared" si="4"/>
        <v>  9,643,967 </v>
      </c>
    </row>
    <row r="12" ht="14.25" customHeight="1">
      <c r="A12" s="73"/>
      <c r="B12" s="73" t="s">
        <v>280</v>
      </c>
      <c r="C12" s="116" t="str">
        <f t="shared" si="5"/>
        <v>  9,643,967 </v>
      </c>
      <c r="D12" s="116" t="str">
        <f t="shared" si="1"/>
        <v>  96,440 </v>
      </c>
      <c r="E12" s="116" t="str">
        <f t="shared" si="2"/>
        <v>  -   </v>
      </c>
      <c r="F12" s="116" t="str">
        <f t="shared" si="3"/>
        <v>  96,440 </v>
      </c>
      <c r="G12" s="116" t="str">
        <f t="shared" si="4"/>
        <v>  9,643,967 </v>
      </c>
    </row>
    <row r="13" ht="14.25" customHeight="1">
      <c r="A13" s="73"/>
      <c r="B13" s="73" t="s">
        <v>281</v>
      </c>
      <c r="C13" s="116" t="str">
        <f t="shared" si="5"/>
        <v>  9,643,967 </v>
      </c>
      <c r="D13" s="116" t="str">
        <f t="shared" si="1"/>
        <v>  96,440 </v>
      </c>
      <c r="E13" s="116" t="str">
        <f t="shared" si="2"/>
        <v>  -   </v>
      </c>
      <c r="F13" s="116" t="str">
        <f t="shared" si="3"/>
        <v>  96,440 </v>
      </c>
      <c r="G13" s="116" t="str">
        <f t="shared" si="4"/>
        <v>  9,643,967 </v>
      </c>
    </row>
    <row r="14" ht="14.25" customHeight="1">
      <c r="A14" s="73"/>
      <c r="B14" s="73" t="s">
        <v>282</v>
      </c>
      <c r="C14" s="116" t="str">
        <f t="shared" si="5"/>
        <v>  9,643,967 </v>
      </c>
      <c r="D14" s="116" t="str">
        <f t="shared" si="1"/>
        <v>  96,440 </v>
      </c>
      <c r="E14" s="116" t="str">
        <f t="shared" si="2"/>
        <v>  -   </v>
      </c>
      <c r="F14" s="116" t="str">
        <f t="shared" si="3"/>
        <v>  96,440 </v>
      </c>
      <c r="G14" s="116" t="str">
        <f t="shared" si="4"/>
        <v>  9,643,967 </v>
      </c>
    </row>
    <row r="15" ht="14.25" customHeight="1">
      <c r="A15" s="73"/>
      <c r="B15" s="73" t="s">
        <v>283</v>
      </c>
      <c r="C15" s="116" t="str">
        <f t="shared" si="5"/>
        <v>  9,643,967 </v>
      </c>
      <c r="D15" s="116" t="str">
        <f t="shared" si="1"/>
        <v>  96,440 </v>
      </c>
      <c r="E15" s="116" t="str">
        <f t="shared" si="2"/>
        <v>  -   </v>
      </c>
      <c r="F15" s="116" t="str">
        <f t="shared" si="3"/>
        <v>  96,440 </v>
      </c>
      <c r="G15" s="116" t="str">
        <f t="shared" si="4"/>
        <v>  9,643,967 </v>
      </c>
    </row>
    <row r="16" ht="14.25" customHeight="1">
      <c r="A16" s="73"/>
      <c r="B16" s="73" t="s">
        <v>284</v>
      </c>
      <c r="C16" s="116" t="str">
        <f t="shared" si="5"/>
        <v>  9,643,967 </v>
      </c>
      <c r="D16" s="116" t="str">
        <f t="shared" si="1"/>
        <v>  96,440 </v>
      </c>
      <c r="E16" s="116" t="str">
        <f t="shared" si="2"/>
        <v>  135,561 </v>
      </c>
      <c r="F16" s="116" t="str">
        <f t="shared" ref="F16:F69" si="6">$D$8</f>
        <v>  232,001 </v>
      </c>
      <c r="G16" s="116" t="str">
        <f t="shared" si="4"/>
        <v>  9,508,405 </v>
      </c>
    </row>
    <row r="17" ht="14.25" customHeight="1">
      <c r="A17" s="73"/>
      <c r="B17" s="73" t="s">
        <v>285</v>
      </c>
      <c r="C17" s="116" t="str">
        <f t="shared" si="5"/>
        <v>  9,508,405 </v>
      </c>
      <c r="D17" s="116" t="str">
        <f t="shared" si="1"/>
        <v>  95,084 </v>
      </c>
      <c r="E17" s="116" t="str">
        <f t="shared" si="2"/>
        <v>  136,917 </v>
      </c>
      <c r="F17" s="116" t="str">
        <f t="shared" si="6"/>
        <v>  232,001 </v>
      </c>
      <c r="G17" s="116" t="str">
        <f t="shared" si="4"/>
        <v>  9,371,489 </v>
      </c>
    </row>
    <row r="18" ht="14.25" customHeight="1">
      <c r="A18" s="73"/>
      <c r="B18" s="73" t="s">
        <v>286</v>
      </c>
      <c r="C18" s="116" t="str">
        <f t="shared" si="5"/>
        <v>  9,371,489 </v>
      </c>
      <c r="D18" s="116" t="str">
        <f t="shared" si="1"/>
        <v>  93,715 </v>
      </c>
      <c r="E18" s="116" t="str">
        <f t="shared" si="2"/>
        <v>  138,286 </v>
      </c>
      <c r="F18" s="116" t="str">
        <f t="shared" si="6"/>
        <v>  232,001 </v>
      </c>
      <c r="G18" s="116" t="str">
        <f t="shared" si="4"/>
        <v>  9,233,203 </v>
      </c>
    </row>
    <row r="19" ht="14.25" customHeight="1">
      <c r="A19" s="73"/>
      <c r="B19" s="73" t="s">
        <v>287</v>
      </c>
      <c r="C19" s="116" t="str">
        <f t="shared" si="5"/>
        <v>  9,233,203 </v>
      </c>
      <c r="D19" s="116" t="str">
        <f t="shared" si="1"/>
        <v>  92,332 </v>
      </c>
      <c r="E19" s="116" t="str">
        <f t="shared" si="2"/>
        <v>  139,669 </v>
      </c>
      <c r="F19" s="116" t="str">
        <f t="shared" si="6"/>
        <v>  232,001 </v>
      </c>
      <c r="G19" s="116" t="str">
        <f t="shared" si="4"/>
        <v>  9,093,534 </v>
      </c>
    </row>
    <row r="20" ht="14.25" customHeight="1">
      <c r="A20" s="73"/>
      <c r="B20" s="73" t="s">
        <v>288</v>
      </c>
      <c r="C20" s="116" t="str">
        <f t="shared" si="5"/>
        <v>  9,093,534 </v>
      </c>
      <c r="D20" s="116" t="str">
        <f t="shared" si="1"/>
        <v>  90,935 </v>
      </c>
      <c r="E20" s="116" t="str">
        <f t="shared" si="2"/>
        <v>  141,066 </v>
      </c>
      <c r="F20" s="116" t="str">
        <f t="shared" si="6"/>
        <v>  232,001 </v>
      </c>
      <c r="G20" s="116" t="str">
        <f t="shared" si="4"/>
        <v>  8,952,468 </v>
      </c>
    </row>
    <row r="21" ht="14.25" customHeight="1">
      <c r="A21" s="73"/>
      <c r="B21" s="73" t="s">
        <v>289</v>
      </c>
      <c r="C21" s="116" t="str">
        <f t="shared" si="5"/>
        <v>  8,952,468 </v>
      </c>
      <c r="D21" s="116" t="str">
        <f t="shared" si="1"/>
        <v>  89,525 </v>
      </c>
      <c r="E21" s="116" t="str">
        <f t="shared" si="2"/>
        <v>  142,476 </v>
      </c>
      <c r="F21" s="116" t="str">
        <f t="shared" si="6"/>
        <v>  232,001 </v>
      </c>
      <c r="G21" s="116" t="str">
        <f t="shared" si="4"/>
        <v>  8,809,992 </v>
      </c>
      <c r="H21" s="194"/>
      <c r="I21" s="194"/>
    </row>
    <row r="22" ht="14.25" customHeight="1">
      <c r="A22" s="73" t="s">
        <v>290</v>
      </c>
      <c r="B22" s="73" t="s">
        <v>291</v>
      </c>
      <c r="C22" s="116" t="str">
        <f t="shared" si="5"/>
        <v>  8,809,992 </v>
      </c>
      <c r="D22" s="116" t="str">
        <f t="shared" si="1"/>
        <v>  88,100 </v>
      </c>
      <c r="E22" s="116" t="str">
        <f t="shared" si="2"/>
        <v>  143,901 </v>
      </c>
      <c r="F22" s="116" t="str">
        <f t="shared" si="6"/>
        <v>  232,001 </v>
      </c>
      <c r="G22" s="116" t="str">
        <f t="shared" si="4"/>
        <v>  8,666,091 </v>
      </c>
    </row>
    <row r="23" ht="14.25" customHeight="1">
      <c r="A23" s="73"/>
      <c r="B23" s="73" t="s">
        <v>292</v>
      </c>
      <c r="C23" s="116" t="str">
        <f t="shared" si="5"/>
        <v>  8,666,091 </v>
      </c>
      <c r="D23" s="116" t="str">
        <f t="shared" si="1"/>
        <v>  86,661 </v>
      </c>
      <c r="E23" s="116" t="str">
        <f t="shared" si="2"/>
        <v>  145,340 </v>
      </c>
      <c r="F23" s="116" t="str">
        <f t="shared" si="6"/>
        <v>  232,001 </v>
      </c>
      <c r="G23" s="116" t="str">
        <f t="shared" si="4"/>
        <v>  8,520,751 </v>
      </c>
    </row>
    <row r="24" ht="14.25" customHeight="1">
      <c r="A24" s="73"/>
      <c r="B24" s="73" t="s">
        <v>293</v>
      </c>
      <c r="C24" s="116" t="str">
        <f t="shared" si="5"/>
        <v>  8,520,751 </v>
      </c>
      <c r="D24" s="116" t="str">
        <f t="shared" si="1"/>
        <v>  85,208 </v>
      </c>
      <c r="E24" s="116" t="str">
        <f t="shared" si="2"/>
        <v>  146,793 </v>
      </c>
      <c r="F24" s="116" t="str">
        <f t="shared" si="6"/>
        <v>  232,001 </v>
      </c>
      <c r="G24" s="116" t="str">
        <f t="shared" si="4"/>
        <v>  8,373,958 </v>
      </c>
    </row>
    <row r="25" ht="14.25" customHeight="1">
      <c r="A25" s="73"/>
      <c r="B25" s="73" t="s">
        <v>294</v>
      </c>
      <c r="C25" s="116" t="str">
        <f t="shared" si="5"/>
        <v>  8,373,958 </v>
      </c>
      <c r="D25" s="116" t="str">
        <f t="shared" si="1"/>
        <v>  83,740 </v>
      </c>
      <c r="E25" s="116" t="str">
        <f t="shared" si="2"/>
        <v>  148,261 </v>
      </c>
      <c r="F25" s="116" t="str">
        <f t="shared" si="6"/>
        <v>  232,001 </v>
      </c>
      <c r="G25" s="116" t="str">
        <f t="shared" si="4"/>
        <v>  8,225,696 </v>
      </c>
    </row>
    <row r="26" ht="14.25" customHeight="1">
      <c r="A26" s="73"/>
      <c r="B26" s="73" t="s">
        <v>295</v>
      </c>
      <c r="C26" s="116" t="str">
        <f t="shared" si="5"/>
        <v>  8,225,696 </v>
      </c>
      <c r="D26" s="116" t="str">
        <f t="shared" si="1"/>
        <v>  82,257 </v>
      </c>
      <c r="E26" s="116" t="str">
        <f t="shared" si="2"/>
        <v>  149,744 </v>
      </c>
      <c r="F26" s="116" t="str">
        <f t="shared" si="6"/>
        <v>  232,001 </v>
      </c>
      <c r="G26" s="116" t="str">
        <f t="shared" si="4"/>
        <v>  8,075,952 </v>
      </c>
    </row>
    <row r="27" ht="14.25" customHeight="1">
      <c r="A27" s="73"/>
      <c r="B27" s="73" t="s">
        <v>296</v>
      </c>
      <c r="C27" s="116" t="str">
        <f t="shared" si="5"/>
        <v>  8,075,952 </v>
      </c>
      <c r="D27" s="116" t="str">
        <f t="shared" si="1"/>
        <v>  80,760 </v>
      </c>
      <c r="E27" s="116" t="str">
        <f t="shared" si="2"/>
        <v>  151,241 </v>
      </c>
      <c r="F27" s="116" t="str">
        <f t="shared" si="6"/>
        <v>  232,001 </v>
      </c>
      <c r="G27" s="116" t="str">
        <f t="shared" si="4"/>
        <v>  7,924,711 </v>
      </c>
    </row>
    <row r="28" ht="14.25" customHeight="1">
      <c r="A28" s="73"/>
      <c r="B28" s="73" t="s">
        <v>297</v>
      </c>
      <c r="C28" s="116" t="str">
        <f t="shared" si="5"/>
        <v>  7,924,711 </v>
      </c>
      <c r="D28" s="116" t="str">
        <f t="shared" si="1"/>
        <v>  79,247 </v>
      </c>
      <c r="E28" s="116" t="str">
        <f t="shared" si="2"/>
        <v>  152,754 </v>
      </c>
      <c r="F28" s="116" t="str">
        <f t="shared" si="6"/>
        <v>  232,001 </v>
      </c>
      <c r="G28" s="116" t="str">
        <f t="shared" si="4"/>
        <v>  7,771,957 </v>
      </c>
    </row>
    <row r="29" ht="14.25" customHeight="1">
      <c r="A29" s="73"/>
      <c r="B29" s="73" t="s">
        <v>298</v>
      </c>
      <c r="C29" s="116" t="str">
        <f t="shared" si="5"/>
        <v>  7,771,957 </v>
      </c>
      <c r="D29" s="116" t="str">
        <f t="shared" si="1"/>
        <v>  77,720 </v>
      </c>
      <c r="E29" s="116" t="str">
        <f t="shared" si="2"/>
        <v>  154,281 </v>
      </c>
      <c r="F29" s="116" t="str">
        <f t="shared" si="6"/>
        <v>  232,001 </v>
      </c>
      <c r="G29" s="116" t="str">
        <f t="shared" si="4"/>
        <v>  7,617,676 </v>
      </c>
    </row>
    <row r="30" ht="14.25" customHeight="1">
      <c r="A30" s="73"/>
      <c r="B30" s="73" t="s">
        <v>299</v>
      </c>
      <c r="C30" s="116" t="str">
        <f t="shared" si="5"/>
        <v>  7,617,676 </v>
      </c>
      <c r="D30" s="116" t="str">
        <f t="shared" si="1"/>
        <v>  76,177 </v>
      </c>
      <c r="E30" s="116" t="str">
        <f t="shared" si="2"/>
        <v>  155,824 </v>
      </c>
      <c r="F30" s="116" t="str">
        <f t="shared" si="6"/>
        <v>  232,001 </v>
      </c>
      <c r="G30" s="116" t="str">
        <f t="shared" si="4"/>
        <v>  7,461,852 </v>
      </c>
    </row>
    <row r="31" ht="14.25" customHeight="1">
      <c r="A31" s="73"/>
      <c r="B31" s="73" t="s">
        <v>300</v>
      </c>
      <c r="C31" s="116" t="str">
        <f t="shared" si="5"/>
        <v>  7,461,852 </v>
      </c>
      <c r="D31" s="116" t="str">
        <f t="shared" si="1"/>
        <v>  74,619 </v>
      </c>
      <c r="E31" s="116" t="str">
        <f t="shared" si="2"/>
        <v>  157,382 </v>
      </c>
      <c r="F31" s="116" t="str">
        <f t="shared" si="6"/>
        <v>  232,001 </v>
      </c>
      <c r="G31" s="116" t="str">
        <f t="shared" si="4"/>
        <v>  7,304,470 </v>
      </c>
    </row>
    <row r="32" ht="14.25" customHeight="1">
      <c r="A32" s="73"/>
      <c r="B32" s="73" t="s">
        <v>301</v>
      </c>
      <c r="C32" s="116" t="str">
        <f t="shared" si="5"/>
        <v>  7,304,470 </v>
      </c>
      <c r="D32" s="116" t="str">
        <f t="shared" si="1"/>
        <v>  73,045 </v>
      </c>
      <c r="E32" s="116" t="str">
        <f t="shared" si="2"/>
        <v>  158,956 </v>
      </c>
      <c r="F32" s="116" t="str">
        <f t="shared" si="6"/>
        <v>  232,001 </v>
      </c>
      <c r="G32" s="116" t="str">
        <f t="shared" si="4"/>
        <v>  7,145,513 </v>
      </c>
    </row>
    <row r="33" ht="14.25" customHeight="1">
      <c r="A33" s="73"/>
      <c r="B33" s="73" t="s">
        <v>302</v>
      </c>
      <c r="C33" s="116" t="str">
        <f t="shared" si="5"/>
        <v>  7,145,513 </v>
      </c>
      <c r="D33" s="116" t="str">
        <f t="shared" si="1"/>
        <v>  71,455 </v>
      </c>
      <c r="E33" s="116" t="str">
        <f t="shared" si="2"/>
        <v>  160,546 </v>
      </c>
      <c r="F33" s="116" t="str">
        <f t="shared" si="6"/>
        <v>  232,001 </v>
      </c>
      <c r="G33" s="116" t="str">
        <f t="shared" si="4"/>
        <v>  6,984,968 </v>
      </c>
      <c r="H33" s="194"/>
      <c r="I33" s="194"/>
    </row>
    <row r="34" ht="14.25" customHeight="1">
      <c r="A34" s="73" t="s">
        <v>303</v>
      </c>
      <c r="B34" s="73" t="s">
        <v>304</v>
      </c>
      <c r="C34" s="116" t="str">
        <f t="shared" si="5"/>
        <v>  6,984,968 </v>
      </c>
      <c r="D34" s="116" t="str">
        <f t="shared" si="1"/>
        <v>  69,850 </v>
      </c>
      <c r="E34" s="116" t="str">
        <f t="shared" si="2"/>
        <v>  162,151 </v>
      </c>
      <c r="F34" s="116" t="str">
        <f t="shared" si="6"/>
        <v>  232,001 </v>
      </c>
      <c r="G34" s="116" t="str">
        <f t="shared" si="4"/>
        <v>  6,822,816 </v>
      </c>
    </row>
    <row r="35" ht="14.25" customHeight="1">
      <c r="A35" s="73"/>
      <c r="B35" s="73" t="s">
        <v>305</v>
      </c>
      <c r="C35" s="116" t="str">
        <f t="shared" si="5"/>
        <v>  6,822,816 </v>
      </c>
      <c r="D35" s="116" t="str">
        <f t="shared" si="1"/>
        <v>  68,228 </v>
      </c>
      <c r="E35" s="116" t="str">
        <f t="shared" si="2"/>
        <v>  163,773 </v>
      </c>
      <c r="F35" s="116" t="str">
        <f t="shared" si="6"/>
        <v>  232,001 </v>
      </c>
      <c r="G35" s="116" t="str">
        <f t="shared" si="4"/>
        <v>  6,659,044 </v>
      </c>
    </row>
    <row r="36" ht="14.25" customHeight="1">
      <c r="A36" s="73"/>
      <c r="B36" s="73" t="s">
        <v>306</v>
      </c>
      <c r="C36" s="116" t="str">
        <f t="shared" si="5"/>
        <v>  6,659,044 </v>
      </c>
      <c r="D36" s="116" t="str">
        <f t="shared" si="1"/>
        <v>  66,590 </v>
      </c>
      <c r="E36" s="116" t="str">
        <f t="shared" si="2"/>
        <v>  165,410 </v>
      </c>
      <c r="F36" s="116" t="str">
        <f t="shared" si="6"/>
        <v>  232,001 </v>
      </c>
      <c r="G36" s="116" t="str">
        <f t="shared" si="4"/>
        <v>  6,493,633 </v>
      </c>
    </row>
    <row r="37" ht="14.25" customHeight="1">
      <c r="A37" s="73"/>
      <c r="B37" s="73" t="s">
        <v>307</v>
      </c>
      <c r="C37" s="116" t="str">
        <f t="shared" si="5"/>
        <v>  6,493,633 </v>
      </c>
      <c r="D37" s="116" t="str">
        <f t="shared" si="1"/>
        <v>  64,936 </v>
      </c>
      <c r="E37" s="116" t="str">
        <f t="shared" si="2"/>
        <v>  167,065 </v>
      </c>
      <c r="F37" s="116" t="str">
        <f t="shared" si="6"/>
        <v>  232,001 </v>
      </c>
      <c r="G37" s="116" t="str">
        <f t="shared" si="4"/>
        <v>  6,326,569 </v>
      </c>
    </row>
    <row r="38" ht="14.25" customHeight="1">
      <c r="A38" s="73"/>
      <c r="B38" s="73" t="s">
        <v>308</v>
      </c>
      <c r="C38" s="116" t="str">
        <f t="shared" si="5"/>
        <v>  6,326,569 </v>
      </c>
      <c r="D38" s="116" t="str">
        <f t="shared" si="1"/>
        <v>  63,266 </v>
      </c>
      <c r="E38" s="116" t="str">
        <f t="shared" si="2"/>
        <v>  168,735 </v>
      </c>
      <c r="F38" s="116" t="str">
        <f t="shared" si="6"/>
        <v>  232,001 </v>
      </c>
      <c r="G38" s="116" t="str">
        <f t="shared" si="4"/>
        <v>  6,157,834 </v>
      </c>
    </row>
    <row r="39" ht="14.25" customHeight="1">
      <c r="A39" s="73"/>
      <c r="B39" s="73" t="s">
        <v>309</v>
      </c>
      <c r="C39" s="116" t="str">
        <f t="shared" si="5"/>
        <v>  6,157,834 </v>
      </c>
      <c r="D39" s="116" t="str">
        <f t="shared" si="1"/>
        <v>  61,578 </v>
      </c>
      <c r="E39" s="116" t="str">
        <f t="shared" si="2"/>
        <v>  170,423 </v>
      </c>
      <c r="F39" s="116" t="str">
        <f t="shared" si="6"/>
        <v>  232,001 </v>
      </c>
      <c r="G39" s="116" t="str">
        <f t="shared" si="4"/>
        <v>  5,987,411 </v>
      </c>
    </row>
    <row r="40" ht="14.25" customHeight="1">
      <c r="A40" s="73"/>
      <c r="B40" s="73" t="s">
        <v>310</v>
      </c>
      <c r="C40" s="116" t="str">
        <f t="shared" si="5"/>
        <v>  5,987,411 </v>
      </c>
      <c r="D40" s="116" t="str">
        <f t="shared" si="1"/>
        <v>  59,874 </v>
      </c>
      <c r="E40" s="116" t="str">
        <f t="shared" si="2"/>
        <v>  172,127 </v>
      </c>
      <c r="F40" s="116" t="str">
        <f t="shared" si="6"/>
        <v>  232,001 </v>
      </c>
      <c r="G40" s="116" t="str">
        <f t="shared" si="4"/>
        <v>  5,815,284 </v>
      </c>
    </row>
    <row r="41" ht="14.25" customHeight="1">
      <c r="A41" s="73"/>
      <c r="B41" s="73" t="s">
        <v>311</v>
      </c>
      <c r="C41" s="116" t="str">
        <f t="shared" si="5"/>
        <v>  5,815,284 </v>
      </c>
      <c r="D41" s="116" t="str">
        <f t="shared" si="1"/>
        <v>  58,153 </v>
      </c>
      <c r="E41" s="116" t="str">
        <f t="shared" si="2"/>
        <v>  173,848 </v>
      </c>
      <c r="F41" s="116" t="str">
        <f t="shared" si="6"/>
        <v>  232,001 </v>
      </c>
      <c r="G41" s="116" t="str">
        <f t="shared" si="4"/>
        <v>  5,641,436 </v>
      </c>
    </row>
    <row r="42" ht="14.25" customHeight="1">
      <c r="A42" s="73"/>
      <c r="B42" s="73" t="s">
        <v>312</v>
      </c>
      <c r="C42" s="116" t="str">
        <f t="shared" si="5"/>
        <v>  5,641,436 </v>
      </c>
      <c r="D42" s="116" t="str">
        <f t="shared" si="1"/>
        <v>  56,414 </v>
      </c>
      <c r="E42" s="116" t="str">
        <f t="shared" si="2"/>
        <v>  175,587 </v>
      </c>
      <c r="F42" s="116" t="str">
        <f t="shared" si="6"/>
        <v>  232,001 </v>
      </c>
      <c r="G42" s="116" t="str">
        <f t="shared" si="4"/>
        <v>  5,465,850 </v>
      </c>
    </row>
    <row r="43" ht="14.25" customHeight="1">
      <c r="A43" s="73"/>
      <c r="B43" s="73" t="s">
        <v>313</v>
      </c>
      <c r="C43" s="116" t="str">
        <f t="shared" si="5"/>
        <v>  5,465,850 </v>
      </c>
      <c r="D43" s="116" t="str">
        <f t="shared" si="1"/>
        <v>  54,658 </v>
      </c>
      <c r="E43" s="116" t="str">
        <f t="shared" si="2"/>
        <v>  177,342 </v>
      </c>
      <c r="F43" s="116" t="str">
        <f t="shared" si="6"/>
        <v>  232,001 </v>
      </c>
      <c r="G43" s="116" t="str">
        <f t="shared" si="4"/>
        <v>  5,288,507 </v>
      </c>
    </row>
    <row r="44" ht="14.25" customHeight="1">
      <c r="A44" s="73"/>
      <c r="B44" s="73" t="s">
        <v>314</v>
      </c>
      <c r="C44" s="116" t="str">
        <f t="shared" si="5"/>
        <v>  5,288,507 </v>
      </c>
      <c r="D44" s="116" t="str">
        <f t="shared" si="1"/>
        <v>  52,885 </v>
      </c>
      <c r="E44" s="116" t="str">
        <f t="shared" si="2"/>
        <v>  179,116 </v>
      </c>
      <c r="F44" s="116" t="str">
        <f t="shared" si="6"/>
        <v>  232,001 </v>
      </c>
      <c r="G44" s="116" t="str">
        <f t="shared" si="4"/>
        <v>  5,109,391 </v>
      </c>
    </row>
    <row r="45" ht="14.25" customHeight="1">
      <c r="A45" s="73"/>
      <c r="B45" s="73" t="s">
        <v>315</v>
      </c>
      <c r="C45" s="116" t="str">
        <f t="shared" si="5"/>
        <v>  5,109,391 </v>
      </c>
      <c r="D45" s="116" t="str">
        <f t="shared" si="1"/>
        <v>  51,094 </v>
      </c>
      <c r="E45" s="116" t="str">
        <f t="shared" si="2"/>
        <v>  180,907 </v>
      </c>
      <c r="F45" s="116" t="str">
        <f t="shared" si="6"/>
        <v>  232,001 </v>
      </c>
      <c r="G45" s="116" t="str">
        <f t="shared" si="4"/>
        <v>  4,928,485 </v>
      </c>
      <c r="H45" s="194"/>
      <c r="I45" s="194"/>
    </row>
    <row r="46" ht="14.25" customHeight="1">
      <c r="A46" s="73" t="s">
        <v>316</v>
      </c>
      <c r="B46" s="73" t="s">
        <v>317</v>
      </c>
      <c r="C46" s="116" t="str">
        <f t="shared" si="5"/>
        <v>  4,928,485 </v>
      </c>
      <c r="D46" s="116" t="str">
        <f t="shared" si="1"/>
        <v>  49,285 </v>
      </c>
      <c r="E46" s="116" t="str">
        <f t="shared" si="2"/>
        <v>  182,716 </v>
      </c>
      <c r="F46" s="116" t="str">
        <f t="shared" si="6"/>
        <v>  232,001 </v>
      </c>
      <c r="G46" s="116" t="str">
        <f t="shared" si="4"/>
        <v>  4,745,768 </v>
      </c>
    </row>
    <row r="47" ht="14.25" customHeight="1">
      <c r="A47" s="73"/>
      <c r="B47" s="73" t="s">
        <v>318</v>
      </c>
      <c r="C47" s="116" t="str">
        <f t="shared" si="5"/>
        <v>  4,745,768 </v>
      </c>
      <c r="D47" s="116" t="str">
        <f t="shared" si="1"/>
        <v>  47,458 </v>
      </c>
      <c r="E47" s="116" t="str">
        <f t="shared" si="2"/>
        <v>  184,543 </v>
      </c>
      <c r="F47" s="116" t="str">
        <f t="shared" si="6"/>
        <v>  232,001 </v>
      </c>
      <c r="G47" s="116" t="str">
        <f t="shared" si="4"/>
        <v>  4,561,225 </v>
      </c>
    </row>
    <row r="48" ht="14.25" customHeight="1">
      <c r="A48" s="73"/>
      <c r="B48" s="73" t="s">
        <v>319</v>
      </c>
      <c r="C48" s="116" t="str">
        <f t="shared" si="5"/>
        <v>  4,561,225 </v>
      </c>
      <c r="D48" s="116" t="str">
        <f t="shared" si="1"/>
        <v>  45,612 </v>
      </c>
      <c r="E48" s="116" t="str">
        <f t="shared" si="2"/>
        <v>  186,389 </v>
      </c>
      <c r="F48" s="116" t="str">
        <f t="shared" si="6"/>
        <v>  232,001 </v>
      </c>
      <c r="G48" s="116" t="str">
        <f t="shared" si="4"/>
        <v>  4,374,837 </v>
      </c>
    </row>
    <row r="49" ht="14.25" customHeight="1">
      <c r="A49" s="73"/>
      <c r="B49" s="73" t="s">
        <v>320</v>
      </c>
      <c r="C49" s="116" t="str">
        <f t="shared" si="5"/>
        <v>  4,374,837 </v>
      </c>
      <c r="D49" s="116" t="str">
        <f t="shared" si="1"/>
        <v>  43,748 </v>
      </c>
      <c r="E49" s="116" t="str">
        <f t="shared" si="2"/>
        <v>  188,253 </v>
      </c>
      <c r="F49" s="116" t="str">
        <f t="shared" si="6"/>
        <v>  232,001 </v>
      </c>
      <c r="G49" s="116" t="str">
        <f t="shared" si="4"/>
        <v>  4,186,584 </v>
      </c>
    </row>
    <row r="50" ht="14.25" customHeight="1">
      <c r="A50" s="73"/>
      <c r="B50" s="73" t="s">
        <v>321</v>
      </c>
      <c r="C50" s="116" t="str">
        <f t="shared" si="5"/>
        <v>  4,186,584 </v>
      </c>
      <c r="D50" s="116" t="str">
        <f t="shared" si="1"/>
        <v>  41,866 </v>
      </c>
      <c r="E50" s="116" t="str">
        <f t="shared" si="2"/>
        <v>  190,135 </v>
      </c>
      <c r="F50" s="116" t="str">
        <f t="shared" si="6"/>
        <v>  232,001 </v>
      </c>
      <c r="G50" s="116" t="str">
        <f t="shared" si="4"/>
        <v>  3,996,449 </v>
      </c>
    </row>
    <row r="51" ht="14.25" customHeight="1">
      <c r="A51" s="73"/>
      <c r="B51" s="73" t="s">
        <v>322</v>
      </c>
      <c r="C51" s="116" t="str">
        <f t="shared" si="5"/>
        <v>  3,996,449 </v>
      </c>
      <c r="D51" s="116" t="str">
        <f t="shared" si="1"/>
        <v>  39,964 </v>
      </c>
      <c r="E51" s="116" t="str">
        <f t="shared" si="2"/>
        <v>  192,036 </v>
      </c>
      <c r="F51" s="116" t="str">
        <f t="shared" si="6"/>
        <v>  232,001 </v>
      </c>
      <c r="G51" s="116" t="str">
        <f t="shared" si="4"/>
        <v>  3,804,413 </v>
      </c>
    </row>
    <row r="52" ht="14.25" customHeight="1">
      <c r="A52" s="73"/>
      <c r="B52" s="73" t="s">
        <v>323</v>
      </c>
      <c r="C52" s="116" t="str">
        <f t="shared" si="5"/>
        <v>  3,804,413 </v>
      </c>
      <c r="D52" s="116" t="str">
        <f t="shared" si="1"/>
        <v>  38,044 </v>
      </c>
      <c r="E52" s="116" t="str">
        <f t="shared" si="2"/>
        <v>  193,957 </v>
      </c>
      <c r="F52" s="116" t="str">
        <f t="shared" si="6"/>
        <v>  232,001 </v>
      </c>
      <c r="G52" s="116" t="str">
        <f t="shared" si="4"/>
        <v>  3,610,456 </v>
      </c>
    </row>
    <row r="53" ht="14.25" customHeight="1">
      <c r="A53" s="73"/>
      <c r="B53" s="73" t="s">
        <v>324</v>
      </c>
      <c r="C53" s="116" t="str">
        <f t="shared" si="5"/>
        <v>  3,610,456 </v>
      </c>
      <c r="D53" s="116" t="str">
        <f t="shared" si="1"/>
        <v>  36,105 </v>
      </c>
      <c r="E53" s="116" t="str">
        <f t="shared" si="2"/>
        <v>  195,896 </v>
      </c>
      <c r="F53" s="116" t="str">
        <f t="shared" si="6"/>
        <v>  232,001 </v>
      </c>
      <c r="G53" s="116" t="str">
        <f t="shared" si="4"/>
        <v>  3,414,560 </v>
      </c>
    </row>
    <row r="54" ht="14.25" customHeight="1">
      <c r="A54" s="73"/>
      <c r="B54" s="73" t="s">
        <v>325</v>
      </c>
      <c r="C54" s="116" t="str">
        <f t="shared" si="5"/>
        <v>  3,414,560 </v>
      </c>
      <c r="D54" s="116" t="str">
        <f t="shared" si="1"/>
        <v>  34,146 </v>
      </c>
      <c r="E54" s="116" t="str">
        <f t="shared" si="2"/>
        <v>  197,855 </v>
      </c>
      <c r="F54" s="116" t="str">
        <f t="shared" si="6"/>
        <v>  232,001 </v>
      </c>
      <c r="G54" s="116" t="str">
        <f t="shared" si="4"/>
        <v>  3,216,704 </v>
      </c>
    </row>
    <row r="55" ht="14.25" customHeight="1">
      <c r="A55" s="73"/>
      <c r="B55" s="73" t="s">
        <v>326</v>
      </c>
      <c r="C55" s="116" t="str">
        <f t="shared" si="5"/>
        <v>  3,216,704 </v>
      </c>
      <c r="D55" s="116" t="str">
        <f t="shared" si="1"/>
        <v>  32,167 </v>
      </c>
      <c r="E55" s="116" t="str">
        <f t="shared" si="2"/>
        <v>  199,834 </v>
      </c>
      <c r="F55" s="116" t="str">
        <f t="shared" si="6"/>
        <v>  232,001 </v>
      </c>
      <c r="G55" s="116" t="str">
        <f t="shared" si="4"/>
        <v>  3,016,871 </v>
      </c>
    </row>
    <row r="56" ht="14.25" customHeight="1">
      <c r="A56" s="73"/>
      <c r="B56" s="73" t="s">
        <v>327</v>
      </c>
      <c r="C56" s="116" t="str">
        <f t="shared" si="5"/>
        <v>  3,016,871 </v>
      </c>
      <c r="D56" s="116" t="str">
        <f t="shared" si="1"/>
        <v>  30,169 </v>
      </c>
      <c r="E56" s="116" t="str">
        <f t="shared" si="2"/>
        <v>  201,832 </v>
      </c>
      <c r="F56" s="116" t="str">
        <f t="shared" si="6"/>
        <v>  232,001 </v>
      </c>
      <c r="G56" s="116" t="str">
        <f t="shared" si="4"/>
        <v>  2,815,038 </v>
      </c>
    </row>
    <row r="57" ht="14.25" customHeight="1">
      <c r="A57" s="73"/>
      <c r="B57" s="73" t="s">
        <v>328</v>
      </c>
      <c r="C57" s="116" t="str">
        <f t="shared" si="5"/>
        <v>  2,815,038 </v>
      </c>
      <c r="D57" s="116" t="str">
        <f t="shared" si="1"/>
        <v>  28,150 </v>
      </c>
      <c r="E57" s="116" t="str">
        <f t="shared" si="2"/>
        <v>  203,850 </v>
      </c>
      <c r="F57" s="116" t="str">
        <f t="shared" si="6"/>
        <v>  232,001 </v>
      </c>
      <c r="G57" s="116" t="str">
        <f t="shared" si="4"/>
        <v>  2,611,188 </v>
      </c>
      <c r="H57" s="194"/>
      <c r="I57" s="194"/>
    </row>
    <row r="58" ht="14.25" customHeight="1">
      <c r="A58" s="73" t="s">
        <v>329</v>
      </c>
      <c r="B58" s="73" t="s">
        <v>330</v>
      </c>
      <c r="C58" s="116" t="str">
        <f t="shared" si="5"/>
        <v>  2,611,188 </v>
      </c>
      <c r="D58" s="116" t="str">
        <f t="shared" si="1"/>
        <v>  26,112 </v>
      </c>
      <c r="E58" s="116" t="str">
        <f t="shared" si="2"/>
        <v>  205,889 </v>
      </c>
      <c r="F58" s="116" t="str">
        <f t="shared" si="6"/>
        <v>  232,001 </v>
      </c>
      <c r="G58" s="116" t="str">
        <f t="shared" si="4"/>
        <v>  2,405,299 </v>
      </c>
    </row>
    <row r="59" ht="14.25" customHeight="1">
      <c r="A59" s="73"/>
      <c r="B59" s="73" t="s">
        <v>331</v>
      </c>
      <c r="C59" s="116" t="str">
        <f t="shared" si="5"/>
        <v>  2,405,299 </v>
      </c>
      <c r="D59" s="116" t="str">
        <f t="shared" si="1"/>
        <v>  24,053 </v>
      </c>
      <c r="E59" s="116" t="str">
        <f t="shared" si="2"/>
        <v>  207,948 </v>
      </c>
      <c r="F59" s="116" t="str">
        <f t="shared" si="6"/>
        <v>  232,001 </v>
      </c>
      <c r="G59" s="116" t="str">
        <f t="shared" si="4"/>
        <v>  2,197,351 </v>
      </c>
    </row>
    <row r="60" ht="14.25" customHeight="1">
      <c r="A60" s="73"/>
      <c r="B60" s="73" t="s">
        <v>332</v>
      </c>
      <c r="C60" s="116" t="str">
        <f t="shared" si="5"/>
        <v>  2,197,351 </v>
      </c>
      <c r="D60" s="116" t="str">
        <f t="shared" si="1"/>
        <v>  21,974 </v>
      </c>
      <c r="E60" s="116" t="str">
        <f t="shared" si="2"/>
        <v>  210,027 </v>
      </c>
      <c r="F60" s="116" t="str">
        <f t="shared" si="6"/>
        <v>  232,001 </v>
      </c>
      <c r="G60" s="116" t="str">
        <f t="shared" si="4"/>
        <v>  1,987,324 </v>
      </c>
    </row>
    <row r="61" ht="14.25" customHeight="1">
      <c r="A61" s="73"/>
      <c r="B61" s="73" t="s">
        <v>333</v>
      </c>
      <c r="C61" s="116" t="str">
        <f t="shared" si="5"/>
        <v>  1,987,324 </v>
      </c>
      <c r="D61" s="116" t="str">
        <f t="shared" si="1"/>
        <v>  19,873 </v>
      </c>
      <c r="E61" s="116" t="str">
        <f t="shared" si="2"/>
        <v>  212,128 </v>
      </c>
      <c r="F61" s="116" t="str">
        <f t="shared" si="6"/>
        <v>  232,001 </v>
      </c>
      <c r="G61" s="116" t="str">
        <f t="shared" si="4"/>
        <v>  1,775,196 </v>
      </c>
    </row>
    <row r="62" ht="14.25" customHeight="1">
      <c r="A62" s="73"/>
      <c r="B62" s="73" t="s">
        <v>334</v>
      </c>
      <c r="C62" s="116" t="str">
        <f t="shared" si="5"/>
        <v>  1,775,196 </v>
      </c>
      <c r="D62" s="116" t="str">
        <f t="shared" si="1"/>
        <v>  17,752 </v>
      </c>
      <c r="E62" s="116" t="str">
        <f t="shared" si="2"/>
        <v>  214,249 </v>
      </c>
      <c r="F62" s="116" t="str">
        <f t="shared" si="6"/>
        <v>  232,001 </v>
      </c>
      <c r="G62" s="116" t="str">
        <f t="shared" si="4"/>
        <v>  1,560,947 </v>
      </c>
    </row>
    <row r="63" ht="14.25" customHeight="1">
      <c r="A63" s="73"/>
      <c r="B63" s="73" t="s">
        <v>335</v>
      </c>
      <c r="C63" s="116" t="str">
        <f t="shared" si="5"/>
        <v>  1,560,947 </v>
      </c>
      <c r="D63" s="116" t="str">
        <f t="shared" si="1"/>
        <v>  15,609 </v>
      </c>
      <c r="E63" s="116" t="str">
        <f t="shared" si="2"/>
        <v>  216,391 </v>
      </c>
      <c r="F63" s="116" t="str">
        <f t="shared" si="6"/>
        <v>  232,001 </v>
      </c>
      <c r="G63" s="116" t="str">
        <f t="shared" si="4"/>
        <v>  1,344,556 </v>
      </c>
    </row>
    <row r="64" ht="14.25" customHeight="1">
      <c r="A64" s="73"/>
      <c r="B64" s="73" t="s">
        <v>336</v>
      </c>
      <c r="C64" s="116" t="str">
        <f t="shared" si="5"/>
        <v>  1,344,556 </v>
      </c>
      <c r="D64" s="116" t="str">
        <f t="shared" si="1"/>
        <v>  13,446 </v>
      </c>
      <c r="E64" s="116" t="str">
        <f t="shared" si="2"/>
        <v>  218,555 </v>
      </c>
      <c r="F64" s="116" t="str">
        <f t="shared" si="6"/>
        <v>  232,001 </v>
      </c>
      <c r="G64" s="116" t="str">
        <f t="shared" si="4"/>
        <v>  1,126,000 </v>
      </c>
    </row>
    <row r="65" ht="14.25" customHeight="1">
      <c r="A65" s="73"/>
      <c r="B65" s="73" t="s">
        <v>337</v>
      </c>
      <c r="C65" s="116" t="str">
        <f t="shared" si="5"/>
        <v>  1,126,000 </v>
      </c>
      <c r="D65" s="116" t="str">
        <f t="shared" si="1"/>
        <v>  11,260 </v>
      </c>
      <c r="E65" s="116" t="str">
        <f t="shared" si="2"/>
        <v>  220,741 </v>
      </c>
      <c r="F65" s="116" t="str">
        <f t="shared" si="6"/>
        <v>  232,001 </v>
      </c>
      <c r="G65" s="116" t="str">
        <f t="shared" si="4"/>
        <v>  905,259 </v>
      </c>
    </row>
    <row r="66" ht="14.25" customHeight="1">
      <c r="A66" s="73"/>
      <c r="B66" s="73" t="s">
        <v>338</v>
      </c>
      <c r="C66" s="116" t="str">
        <f t="shared" si="5"/>
        <v>  905,259 </v>
      </c>
      <c r="D66" s="116" t="str">
        <f t="shared" si="1"/>
        <v>  9,053 </v>
      </c>
      <c r="E66" s="116" t="str">
        <f t="shared" si="2"/>
        <v>  222,948 </v>
      </c>
      <c r="F66" s="116" t="str">
        <f t="shared" si="6"/>
        <v>  232,001 </v>
      </c>
      <c r="G66" s="116" t="str">
        <f t="shared" si="4"/>
        <v>  682,311 </v>
      </c>
    </row>
    <row r="67" ht="14.25" customHeight="1">
      <c r="A67" s="73"/>
      <c r="B67" s="73" t="s">
        <v>339</v>
      </c>
      <c r="C67" s="116" t="str">
        <f t="shared" si="5"/>
        <v>  682,311 </v>
      </c>
      <c r="D67" s="116" t="str">
        <f t="shared" si="1"/>
        <v>  6,823 </v>
      </c>
      <c r="E67" s="116" t="str">
        <f t="shared" si="2"/>
        <v>  225,178 </v>
      </c>
      <c r="F67" s="116" t="str">
        <f t="shared" si="6"/>
        <v>  232,001 </v>
      </c>
      <c r="G67" s="116" t="str">
        <f t="shared" si="4"/>
        <v>  457,133 </v>
      </c>
    </row>
    <row r="68" ht="14.25" customHeight="1">
      <c r="A68" s="73"/>
      <c r="B68" s="73" t="s">
        <v>340</v>
      </c>
      <c r="C68" s="116" t="str">
        <f t="shared" si="5"/>
        <v>  457,133 </v>
      </c>
      <c r="D68" s="116" t="str">
        <f t="shared" si="1"/>
        <v>  4,571 </v>
      </c>
      <c r="E68" s="116" t="str">
        <f t="shared" si="2"/>
        <v>  227,430 </v>
      </c>
      <c r="F68" s="116" t="str">
        <f t="shared" si="6"/>
        <v>  232,001 </v>
      </c>
      <c r="G68" s="116" t="str">
        <f t="shared" si="4"/>
        <v>  229,704 </v>
      </c>
    </row>
    <row r="69" ht="14.25" customHeight="1">
      <c r="A69" s="73"/>
      <c r="B69" s="73" t="s">
        <v>341</v>
      </c>
      <c r="C69" s="116" t="str">
        <f t="shared" si="5"/>
        <v>  229,704 </v>
      </c>
      <c r="D69" s="116" t="str">
        <f t="shared" si="1"/>
        <v>  2,297 </v>
      </c>
      <c r="E69" s="116" t="str">
        <f t="shared" si="2"/>
        <v>  229,704 </v>
      </c>
      <c r="F69" s="116" t="str">
        <f t="shared" si="6"/>
        <v>  232,001 </v>
      </c>
      <c r="G69" s="116" t="str">
        <f t="shared" si="4"/>
        <v>  0 </v>
      </c>
      <c r="H69" s="194"/>
      <c r="I69" s="194"/>
    </row>
    <row r="70" ht="14.25" customHeight="1">
      <c r="A70" s="73" t="s">
        <v>342</v>
      </c>
      <c r="B70" s="73" t="s">
        <v>343</v>
      </c>
      <c r="C70" s="116"/>
      <c r="D70" s="116"/>
      <c r="E70" s="116"/>
      <c r="F70" s="116"/>
      <c r="G70" s="116"/>
    </row>
    <row r="71" ht="14.25" customHeight="1">
      <c r="A71" s="73"/>
      <c r="B71" s="73" t="s">
        <v>344</v>
      </c>
      <c r="C71" s="116"/>
      <c r="D71" s="116"/>
      <c r="E71" s="116"/>
      <c r="F71" s="116"/>
      <c r="G71" s="116"/>
    </row>
    <row r="72" ht="14.25" customHeight="1">
      <c r="A72" s="73"/>
      <c r="B72" s="73" t="s">
        <v>345</v>
      </c>
      <c r="C72" s="116"/>
      <c r="D72" s="116"/>
      <c r="E72" s="116"/>
      <c r="F72" s="116"/>
      <c r="G72" s="116"/>
    </row>
    <row r="73" ht="14.25" customHeight="1">
      <c r="A73" s="73"/>
      <c r="B73" s="73" t="s">
        <v>346</v>
      </c>
      <c r="C73" s="116"/>
      <c r="D73" s="116"/>
      <c r="E73" s="116"/>
      <c r="F73" s="116"/>
      <c r="G73" s="116"/>
    </row>
    <row r="74" ht="14.25" customHeight="1">
      <c r="A74" s="73"/>
      <c r="B74" s="73" t="s">
        <v>347</v>
      </c>
      <c r="C74" s="116"/>
      <c r="D74" s="116"/>
      <c r="E74" s="116"/>
      <c r="F74" s="116"/>
      <c r="G74" s="116"/>
    </row>
    <row r="75" ht="14.25" customHeight="1">
      <c r="A75" s="73"/>
      <c r="B75" s="73" t="s">
        <v>348</v>
      </c>
      <c r="C75" s="116"/>
      <c r="D75" s="116"/>
      <c r="E75" s="116"/>
      <c r="F75" s="116"/>
      <c r="G75" s="116"/>
    </row>
    <row r="76" ht="14.25" customHeight="1">
      <c r="A76" s="73"/>
      <c r="B76" s="73" t="s">
        <v>349</v>
      </c>
      <c r="C76" s="116"/>
      <c r="D76" s="116"/>
      <c r="E76" s="116"/>
      <c r="F76" s="116"/>
      <c r="G76" s="116"/>
    </row>
    <row r="77" ht="14.25" customHeight="1">
      <c r="A77" s="73"/>
      <c r="B77" s="73" t="s">
        <v>350</v>
      </c>
      <c r="C77" s="116"/>
      <c r="D77" s="116"/>
      <c r="E77" s="116"/>
      <c r="F77" s="116"/>
      <c r="G77" s="116"/>
    </row>
    <row r="78" ht="14.25" customHeight="1">
      <c r="A78" s="73"/>
      <c r="B78" s="73" t="s">
        <v>351</v>
      </c>
      <c r="C78" s="116"/>
      <c r="D78" s="116"/>
      <c r="E78" s="116"/>
      <c r="F78" s="116"/>
      <c r="G78" s="116"/>
    </row>
    <row r="79" ht="14.25" customHeight="1">
      <c r="A79" s="73"/>
      <c r="B79" s="73" t="s">
        <v>352</v>
      </c>
      <c r="C79" s="116"/>
      <c r="D79" s="116"/>
      <c r="E79" s="116"/>
      <c r="F79" s="116"/>
      <c r="G79" s="116"/>
    </row>
    <row r="80" ht="14.25" customHeight="1">
      <c r="A80" s="73"/>
      <c r="B80" s="73" t="s">
        <v>353</v>
      </c>
      <c r="C80" s="116"/>
      <c r="D80" s="116"/>
      <c r="E80" s="116"/>
      <c r="F80" s="116"/>
      <c r="G80" s="116"/>
    </row>
    <row r="81" ht="14.25" customHeight="1">
      <c r="A81" s="73"/>
      <c r="B81" s="73" t="s">
        <v>354</v>
      </c>
      <c r="C81" s="116"/>
      <c r="D81" s="116"/>
      <c r="E81" s="116"/>
      <c r="F81" s="116"/>
      <c r="G81" s="116"/>
      <c r="H81" s="194"/>
      <c r="I81" s="194"/>
    </row>
    <row r="82" ht="14.25" customHeight="1">
      <c r="A82" s="73" t="s">
        <v>355</v>
      </c>
      <c r="B82" s="73" t="s">
        <v>356</v>
      </c>
      <c r="C82" s="116"/>
      <c r="D82" s="116"/>
      <c r="E82" s="116"/>
      <c r="F82" s="116"/>
      <c r="G82" s="116"/>
    </row>
    <row r="83" ht="14.25" customHeight="1">
      <c r="A83" s="73"/>
      <c r="B83" s="73" t="s">
        <v>357</v>
      </c>
      <c r="C83" s="116"/>
      <c r="D83" s="116"/>
      <c r="E83" s="116"/>
      <c r="F83" s="116"/>
      <c r="G83" s="116"/>
    </row>
    <row r="84" ht="14.25" customHeight="1">
      <c r="A84" s="73"/>
      <c r="B84" s="73" t="s">
        <v>358</v>
      </c>
      <c r="C84" s="116"/>
      <c r="D84" s="116"/>
      <c r="E84" s="116"/>
      <c r="F84" s="116"/>
      <c r="G84" s="116"/>
    </row>
    <row r="85" ht="14.25" customHeight="1">
      <c r="A85" s="73"/>
      <c r="B85" s="73" t="s">
        <v>359</v>
      </c>
      <c r="C85" s="116"/>
      <c r="D85" s="116"/>
      <c r="E85" s="116"/>
      <c r="F85" s="116"/>
      <c r="G85" s="116"/>
    </row>
    <row r="86" ht="14.25" customHeight="1">
      <c r="A86" s="73"/>
      <c r="B86" s="73" t="s">
        <v>360</v>
      </c>
      <c r="C86" s="116"/>
      <c r="D86" s="116"/>
      <c r="E86" s="116"/>
      <c r="F86" s="116"/>
      <c r="G86" s="116"/>
    </row>
    <row r="87" ht="14.25" customHeight="1">
      <c r="A87" s="73"/>
      <c r="B87" s="73" t="s">
        <v>361</v>
      </c>
      <c r="C87" s="116"/>
      <c r="D87" s="116"/>
      <c r="E87" s="116"/>
      <c r="F87" s="116"/>
      <c r="G87" s="116"/>
    </row>
    <row r="88" ht="14.25" customHeight="1">
      <c r="A88" s="73"/>
      <c r="B88" s="73" t="s">
        <v>362</v>
      </c>
      <c r="C88" s="116"/>
      <c r="D88" s="116"/>
      <c r="E88" s="116"/>
      <c r="F88" s="116"/>
      <c r="G88" s="116"/>
    </row>
    <row r="89" ht="14.25" customHeight="1">
      <c r="A89" s="73"/>
      <c r="B89" s="73" t="s">
        <v>363</v>
      </c>
      <c r="C89" s="116"/>
      <c r="D89" s="116"/>
      <c r="E89" s="116"/>
      <c r="F89" s="116"/>
      <c r="G89" s="116"/>
    </row>
    <row r="90" ht="14.25" customHeight="1">
      <c r="A90" s="73"/>
      <c r="B90" s="73" t="s">
        <v>364</v>
      </c>
      <c r="C90" s="116"/>
      <c r="D90" s="116"/>
      <c r="E90" s="116"/>
      <c r="F90" s="116"/>
      <c r="G90" s="116"/>
    </row>
    <row r="91" ht="14.25" customHeight="1">
      <c r="A91" s="73"/>
      <c r="B91" s="73" t="s">
        <v>365</v>
      </c>
      <c r="C91" s="116"/>
      <c r="D91" s="116"/>
      <c r="E91" s="116"/>
      <c r="F91" s="116"/>
      <c r="G91" s="116"/>
    </row>
    <row r="92" ht="14.25" customHeight="1">
      <c r="A92" s="73"/>
      <c r="B92" s="73" t="s">
        <v>366</v>
      </c>
      <c r="C92" s="116"/>
      <c r="D92" s="116"/>
      <c r="E92" s="116"/>
      <c r="F92" s="116"/>
      <c r="G92" s="116"/>
    </row>
    <row r="93" ht="14.25" customHeight="1">
      <c r="A93" s="73"/>
      <c r="B93" s="73" t="s">
        <v>367</v>
      </c>
      <c r="C93" s="116"/>
      <c r="D93" s="116"/>
      <c r="E93" s="116"/>
      <c r="F93" s="116"/>
      <c r="G93" s="116"/>
    </row>
    <row r="94" ht="14.25" customHeight="1">
      <c r="A94" s="111"/>
      <c r="B94" s="111"/>
      <c r="C94" s="111"/>
      <c r="D94" s="195" t="str">
        <f t="shared" ref="D94:E94" si="7">SUM(D10:D93)</f>
        <v>3462718.85</v>
      </c>
      <c r="E94" s="195" t="str">
        <f t="shared" si="7"/>
        <v>9643966.60</v>
      </c>
      <c r="F94" s="111"/>
      <c r="G94" s="111"/>
    </row>
    <row r="95" ht="39.75" customHeight="1">
      <c r="A95" s="196" t="s">
        <v>368</v>
      </c>
    </row>
    <row r="96" ht="14.25" customHeight="1">
      <c r="A96" t="s">
        <v>369</v>
      </c>
    </row>
    <row r="97" ht="14.25" customHeight="1">
      <c r="A97">
        <v>1.0</v>
      </c>
      <c r="B97" t="s">
        <v>370</v>
      </c>
    </row>
    <row r="98" ht="14.25" customHeight="1">
      <c r="A98">
        <v>2.0</v>
      </c>
      <c r="B98" t="s">
        <v>371</v>
      </c>
    </row>
    <row r="99" ht="14.25" customHeight="1"/>
    <row r="100" ht="14.25" customHeight="1"/>
  </sheetData>
  <mergeCells count="2">
    <mergeCell ref="A2:G2"/>
    <mergeCell ref="A95:H95"/>
  </mergeCells>
  <printOptions/>
  <pageMargins bottom="0.75" footer="0.0" header="0.0" left="0.7" right="0.7" top="0.75"/>
  <pageSetup scale="59"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7.57"/>
    <col customWidth="1" min="3" max="3" width="30.57"/>
    <col customWidth="1" min="4" max="4" width="16.86"/>
    <col customWidth="1" min="5" max="5" width="12.57"/>
    <col customWidth="1" min="6" max="6" width="16.0"/>
    <col customWidth="1" min="7" max="7" width="20.43"/>
    <col customWidth="1" min="8" max="8" width="23.14"/>
    <col customWidth="1" min="9" max="9" width="26.86"/>
    <col customWidth="1" min="10" max="10" width="29.43"/>
    <col customWidth="1" min="11" max="11" width="32.14"/>
    <col customWidth="1" min="12" max="13" width="8.71"/>
    <col customWidth="1" hidden="1" min="14" max="14" width="24.0"/>
    <col customWidth="1" hidden="1" min="15" max="15" width="11.86"/>
    <col customWidth="1" hidden="1" min="16" max="16" width="9.57"/>
    <col customWidth="1" hidden="1" min="17" max="17" width="10.86"/>
    <col customWidth="1" hidden="1" min="18" max="18" width="11.29"/>
    <col customWidth="1" hidden="1" min="19" max="20" width="8.71"/>
    <col customWidth="1" hidden="1" min="21" max="21" width="24.0"/>
    <col customWidth="1" hidden="1" min="22" max="22" width="12.57"/>
  </cols>
  <sheetData>
    <row r="1" ht="14.25" customHeight="1"/>
    <row r="2" ht="14.25" customHeight="1">
      <c r="C2" s="25" t="s">
        <v>372</v>
      </c>
      <c r="L2" s="197"/>
    </row>
    <row r="3" ht="14.25" customHeight="1"/>
    <row r="4" ht="14.25" customHeight="1">
      <c r="C4" s="198" t="s">
        <v>190</v>
      </c>
      <c r="D4" s="198"/>
      <c r="E4" s="199" t="s">
        <v>193</v>
      </c>
      <c r="F4" s="199" t="s">
        <v>194</v>
      </c>
      <c r="G4" s="199" t="s">
        <v>195</v>
      </c>
      <c r="H4" s="199" t="s">
        <v>196</v>
      </c>
      <c r="I4" s="199" t="s">
        <v>197</v>
      </c>
      <c r="J4" s="199" t="s">
        <v>198</v>
      </c>
      <c r="K4" s="199" t="s">
        <v>199</v>
      </c>
      <c r="L4" s="111"/>
      <c r="M4" s="111"/>
      <c r="N4" s="200"/>
      <c r="O4" s="200"/>
      <c r="P4" s="200"/>
      <c r="Q4" s="200"/>
      <c r="R4" s="200"/>
      <c r="S4" s="200"/>
      <c r="T4" s="200"/>
      <c r="U4" s="200"/>
      <c r="V4" s="200"/>
    </row>
    <row r="5" ht="14.25" customHeight="1">
      <c r="C5" s="73" t="s">
        <v>373</v>
      </c>
      <c r="D5" s="73"/>
      <c r="E5" s="73"/>
      <c r="F5" s="73"/>
      <c r="G5" s="73"/>
      <c r="H5" s="73"/>
      <c r="I5" s="73"/>
      <c r="J5" s="73"/>
      <c r="K5" s="73"/>
      <c r="L5" s="111"/>
      <c r="M5" s="111"/>
      <c r="N5" s="201" t="s">
        <v>374</v>
      </c>
      <c r="O5" s="107"/>
      <c r="P5" s="107"/>
      <c r="Q5" s="107"/>
      <c r="R5" s="108"/>
      <c r="S5" s="200"/>
      <c r="T5" s="200"/>
      <c r="U5" s="201" t="s">
        <v>375</v>
      </c>
      <c r="V5" s="108"/>
    </row>
    <row r="6" ht="14.25" hidden="1" customHeight="1">
      <c r="C6" s="73" t="s">
        <v>376</v>
      </c>
      <c r="D6" s="202"/>
      <c r="E6" s="73"/>
      <c r="F6" s="116" t="str">
        <f t="shared" ref="F6:K6" si="1">E15</f>
        <v>  -   </v>
      </c>
      <c r="G6" s="116" t="str">
        <f t="shared" si="1"/>
        <v>  -   </v>
      </c>
      <c r="H6" s="116" t="str">
        <f t="shared" si="1"/>
        <v>  -   </v>
      </c>
      <c r="I6" s="116" t="str">
        <f t="shared" si="1"/>
        <v>  -   </v>
      </c>
      <c r="J6" s="116" t="str">
        <f t="shared" si="1"/>
        <v>  -   </v>
      </c>
      <c r="K6" s="116" t="str">
        <f t="shared" si="1"/>
        <v>  -   </v>
      </c>
      <c r="L6" s="111"/>
      <c r="M6" s="111"/>
      <c r="N6" s="203" t="s">
        <v>377</v>
      </c>
      <c r="O6" s="204"/>
      <c r="P6" s="204"/>
      <c r="Q6" s="204"/>
      <c r="R6" s="205"/>
      <c r="S6" s="200"/>
      <c r="T6" s="200"/>
      <c r="U6" s="203" t="s">
        <v>377</v>
      </c>
      <c r="V6" s="205"/>
    </row>
    <row r="7" ht="14.25" hidden="1" customHeight="1">
      <c r="C7" s="73" t="s">
        <v>378</v>
      </c>
      <c r="D7" s="202"/>
      <c r="E7" s="73"/>
      <c r="F7" s="116" t="str">
        <f t="shared" ref="F7:K7" si="2">E16</f>
        <v>  -   </v>
      </c>
      <c r="G7" s="116" t="str">
        <f t="shared" si="2"/>
        <v>  -   </v>
      </c>
      <c r="H7" s="116" t="str">
        <f t="shared" si="2"/>
        <v>  -   </v>
      </c>
      <c r="I7" s="116" t="str">
        <f t="shared" si="2"/>
        <v>  -   </v>
      </c>
      <c r="J7" s="116" t="str">
        <f t="shared" si="2"/>
        <v>  -   </v>
      </c>
      <c r="K7" s="116" t="str">
        <f t="shared" si="2"/>
        <v>  -   </v>
      </c>
      <c r="L7" s="111"/>
      <c r="M7" s="111"/>
      <c r="N7" s="206" t="s">
        <v>190</v>
      </c>
      <c r="O7" s="206" t="s">
        <v>379</v>
      </c>
      <c r="P7" s="206" t="s">
        <v>380</v>
      </c>
      <c r="Q7" s="206" t="s">
        <v>381</v>
      </c>
      <c r="R7" s="206" t="s">
        <v>382</v>
      </c>
      <c r="S7" s="200"/>
      <c r="T7" s="200"/>
      <c r="U7" s="207" t="s">
        <v>190</v>
      </c>
      <c r="V7" s="207" t="s">
        <v>383</v>
      </c>
    </row>
    <row r="8" ht="14.25" customHeight="1">
      <c r="C8" s="73" t="s">
        <v>374</v>
      </c>
      <c r="D8" s="202"/>
      <c r="E8" s="73"/>
      <c r="F8" s="116" t="str">
        <f t="shared" ref="F8:K8" si="3">E17</f>
        <v>  247,233 </v>
      </c>
      <c r="G8" s="116" t="str">
        <f t="shared" si="3"/>
        <v>  302,860 </v>
      </c>
      <c r="H8" s="116" t="str">
        <f t="shared" si="3"/>
        <v>  363,432 </v>
      </c>
      <c r="I8" s="116" t="str">
        <f t="shared" si="3"/>
        <v>  429,304 </v>
      </c>
      <c r="J8" s="116" t="str">
        <f t="shared" si="3"/>
        <v>  500,855 </v>
      </c>
      <c r="K8" s="116" t="str">
        <f t="shared" si="3"/>
        <v>  578,488 </v>
      </c>
      <c r="L8" s="111"/>
      <c r="M8" s="111"/>
      <c r="N8" s="208" t="s">
        <v>384</v>
      </c>
      <c r="O8" s="209" t="str">
        <f>'13.Facility 2 Grain Processing'!C150</f>
        <v>  6,500 </v>
      </c>
      <c r="P8" s="209" t="str">
        <f>'13.Facility 2 Grain Processing'!C151</f>
        <v>  5,500 </v>
      </c>
      <c r="Q8" s="209" t="str">
        <f>'13.Facility 2 Grain Processing'!C152</f>
        <v>  6,500 </v>
      </c>
      <c r="R8" s="208" t="str">
        <f>'13.Facility 2 Grain Processing'!#REF!</f>
        <v>#ERROR!</v>
      </c>
      <c r="S8" s="200"/>
      <c r="T8" s="200"/>
      <c r="U8" s="208" t="s">
        <v>385</v>
      </c>
      <c r="V8" s="209" t="str">
        <f>'17.Facility 6 Horti Processing '!C163</f>
        <v>  6,000 </v>
      </c>
    </row>
    <row r="9" ht="14.25" hidden="1" customHeight="1">
      <c r="C9" s="73" t="str">
        <f>C18</f>
        <v>Horticulture Processing </v>
      </c>
      <c r="D9" s="73"/>
      <c r="E9" s="73"/>
      <c r="F9" s="116" t="str">
        <f t="shared" ref="F9:K9" si="4">E18</f>
        <v>  -   </v>
      </c>
      <c r="G9" s="116" t="str">
        <f t="shared" si="4"/>
        <v>  -   </v>
      </c>
      <c r="H9" s="116" t="str">
        <f t="shared" si="4"/>
        <v>  -   </v>
      </c>
      <c r="I9" s="116" t="str">
        <f t="shared" si="4"/>
        <v>  -   </v>
      </c>
      <c r="J9" s="116" t="str">
        <f t="shared" si="4"/>
        <v>  -   </v>
      </c>
      <c r="K9" s="116" t="str">
        <f t="shared" si="4"/>
        <v>  -   </v>
      </c>
      <c r="L9" s="111"/>
      <c r="M9" s="111"/>
      <c r="N9" s="208" t="str">
        <f>'13.Facility 2 Grain Processing'!#REF!</f>
        <v>#ERROR!</v>
      </c>
      <c r="O9" s="208" t="str">
        <f>('13.Facility 2 Grain Processing'!#REF!*'13.Facility 2 Grain Processing'!#REF!/1000)*100</f>
        <v>#ERROR!</v>
      </c>
      <c r="P9" s="208" t="str">
        <f t="shared" ref="P9:R9" si="5">O9</f>
        <v>#ERROR!</v>
      </c>
      <c r="Q9" s="208" t="str">
        <f t="shared" si="5"/>
        <v>#ERROR!</v>
      </c>
      <c r="R9" s="208" t="str">
        <f t="shared" si="5"/>
        <v>#ERROR!</v>
      </c>
      <c r="S9" s="200"/>
      <c r="T9" s="200"/>
      <c r="U9" s="208" t="str">
        <f>'17.Facility 6 Horti Processing '!A164</f>
        <v>Other Consumbales</v>
      </c>
      <c r="V9" s="210" t="str">
        <f>'17.Facility 6 Horti Processing '!C164</f>
        <v>2000.00</v>
      </c>
    </row>
    <row r="10" ht="14.25" customHeight="1">
      <c r="C10" s="73"/>
      <c r="D10" s="73"/>
      <c r="E10" s="73"/>
      <c r="F10" s="116"/>
      <c r="G10" s="116"/>
      <c r="H10" s="116"/>
      <c r="I10" s="116"/>
      <c r="J10" s="116"/>
      <c r="K10" s="116"/>
      <c r="L10" s="111"/>
      <c r="M10" s="111"/>
      <c r="N10" s="208" t="str">
        <f>'13.Facility 2 Grain Processing'!A155</f>
        <v>Daily Labour </v>
      </c>
      <c r="O10" s="211" t="str">
        <f>('13.Facility 2 Grain Processing'!B155*'13.Facility 2 Grain Processing'!C155)/('13.Facility 2 Grain Processing'!B5*'13.Facility 2 Grain Processing'!B6)</f>
        <v>22.5</v>
      </c>
      <c r="P10" s="211" t="str">
        <f t="shared" ref="P10:R10" si="6">O10</f>
        <v>22.5</v>
      </c>
      <c r="Q10" s="211" t="str">
        <f t="shared" si="6"/>
        <v>22.5</v>
      </c>
      <c r="R10" s="211" t="str">
        <f t="shared" si="6"/>
        <v>22.5</v>
      </c>
      <c r="S10" s="200"/>
      <c r="T10" s="200"/>
      <c r="U10" s="208" t="str">
        <f>'17.Facility 6 Horti Processing '!A165</f>
        <v>Daily Labour </v>
      </c>
      <c r="V10" s="210" t="str">
        <f>'17.Facility 6 Horti Processing '!B165*'17.Facility 6 Horti Processing '!C165/('17.Facility 6 Horti Processing '!B5*'17.Facility 6 Horti Processing '!B6)</f>
        <v>187.50</v>
      </c>
    </row>
    <row r="11" ht="14.25" customHeight="1">
      <c r="C11" s="73"/>
      <c r="D11" s="73"/>
      <c r="E11" s="73"/>
      <c r="F11" s="116"/>
      <c r="G11" s="116"/>
      <c r="H11" s="116"/>
      <c r="I11" s="116"/>
      <c r="J11" s="116"/>
      <c r="K11" s="116"/>
      <c r="L11" s="111"/>
      <c r="M11" s="111"/>
      <c r="N11" s="208" t="str">
        <f>'13.Facility 2 Grain Processing'!A156</f>
        <v>Electricity Charges</v>
      </c>
      <c r="O11" s="211" t="str">
        <f>('13.Facility 2 Grain Processing'!B156*'13.Facility 2 Grain Processing'!C156)/('13.Facility 2 Grain Processing'!B5*'13.Facility 2 Grain Processing'!B6)</f>
        <v>83.6</v>
      </c>
      <c r="P11" s="211" t="str">
        <f t="shared" ref="P11:R11" si="7">O11</f>
        <v>83.6</v>
      </c>
      <c r="Q11" s="211" t="str">
        <f t="shared" si="7"/>
        <v>83.6</v>
      </c>
      <c r="R11" s="211" t="str">
        <f t="shared" si="7"/>
        <v>83.6</v>
      </c>
      <c r="S11" s="200"/>
      <c r="T11" s="200"/>
      <c r="U11" s="208" t="str">
        <f>'17.Facility 6 Horti Processing '!A166</f>
        <v>Electricity Charges</v>
      </c>
      <c r="V11" s="208" t="str">
        <f>'17.Facility 6 Horti Processing '!B166*'17.Facility 6 Horti Processing '!C166/('17.Facility 6 Horti Processing '!B5*'17.Facility 6 Horti Processing '!B6)</f>
        <v>0</v>
      </c>
    </row>
    <row r="12" ht="14.25" customHeight="1">
      <c r="C12" s="73" t="s">
        <v>88</v>
      </c>
      <c r="D12" s="73"/>
      <c r="E12" s="116"/>
      <c r="F12" s="116" t="str">
        <f t="shared" ref="F12:K12" si="8">SUM(F6:F11)</f>
        <v>  247,233 </v>
      </c>
      <c r="G12" s="116" t="str">
        <f t="shared" si="8"/>
        <v>  302,860 </v>
      </c>
      <c r="H12" s="116" t="str">
        <f t="shared" si="8"/>
        <v>  363,432 </v>
      </c>
      <c r="I12" s="116" t="str">
        <f t="shared" si="8"/>
        <v>  429,304 </v>
      </c>
      <c r="J12" s="116" t="str">
        <f t="shared" si="8"/>
        <v>  500,855 </v>
      </c>
      <c r="K12" s="116" t="str">
        <f t="shared" si="8"/>
        <v>  578,488 </v>
      </c>
      <c r="L12" s="111"/>
      <c r="M12" s="111"/>
      <c r="N12" s="208" t="str">
        <f>'13.Facility 2 Grain Processing'!#REF!</f>
        <v>#ERROR!</v>
      </c>
      <c r="O12" s="208" t="str">
        <f>'13.Facility 2 Grain Processing'!#REF!*2</f>
        <v>#ERROR!</v>
      </c>
      <c r="P12" s="208" t="str">
        <f t="shared" ref="P12:R12" si="9">O12</f>
        <v>#ERROR!</v>
      </c>
      <c r="Q12" s="208" t="str">
        <f t="shared" si="9"/>
        <v>#ERROR!</v>
      </c>
      <c r="R12" s="208" t="str">
        <f t="shared" si="9"/>
        <v>#ERROR!</v>
      </c>
      <c r="S12" s="200"/>
      <c r="T12" s="200"/>
      <c r="U12" s="208" t="str">
        <f>'17.Facility 6 Horti Processing '!A167</f>
        <v>Loading/Unloading Charges</v>
      </c>
      <c r="V12" s="208" t="str">
        <f>'17.Facility 6 Horti Processing '!C167</f>
        <v>10</v>
      </c>
    </row>
    <row r="13" ht="14.25" customHeight="1">
      <c r="C13" s="73"/>
      <c r="D13" s="73"/>
      <c r="E13" s="73"/>
      <c r="F13" s="116"/>
      <c r="G13" s="116"/>
      <c r="H13" s="116"/>
      <c r="I13" s="116"/>
      <c r="J13" s="116"/>
      <c r="K13" s="116"/>
      <c r="L13" s="111"/>
      <c r="M13" s="111"/>
      <c r="N13" s="208" t="str">
        <f>'13.Facility 2 Grain Processing'!A157</f>
        <v>packaging Exp- Dal</v>
      </c>
      <c r="O13" s="208" t="str">
        <f>'13.Facility 2 Grain Processing'!C157*2</f>
        <v>50</v>
      </c>
      <c r="P13" s="208" t="str">
        <f t="shared" ref="P13:R13" si="10">O13</f>
        <v>50</v>
      </c>
      <c r="Q13" s="208" t="str">
        <f t="shared" si="10"/>
        <v>50</v>
      </c>
      <c r="R13" s="208" t="str">
        <f t="shared" si="10"/>
        <v>50</v>
      </c>
      <c r="S13" s="200"/>
      <c r="T13" s="200"/>
      <c r="U13" s="208" t="str">
        <f>'17.Facility 6 Horti Processing '!A168</f>
        <v>packaging Exp</v>
      </c>
      <c r="V13" s="85" t="str">
        <f>'17.Facility 6 Horti Processing '!C168*100</f>
        <v>200</v>
      </c>
    </row>
    <row r="14" ht="14.25" customHeight="1">
      <c r="C14" s="117" t="s">
        <v>386</v>
      </c>
      <c r="D14" s="73"/>
      <c r="E14" s="73"/>
      <c r="F14" s="116"/>
      <c r="G14" s="116"/>
      <c r="H14" s="116"/>
      <c r="I14" s="116"/>
      <c r="J14" s="116"/>
      <c r="K14" s="116"/>
      <c r="L14" s="111"/>
      <c r="M14" s="111"/>
      <c r="N14" s="208"/>
      <c r="O14" s="85"/>
      <c r="P14" s="85"/>
      <c r="Q14" s="85"/>
      <c r="R14" s="85"/>
      <c r="S14" s="200"/>
      <c r="T14" s="200"/>
      <c r="U14" s="85"/>
      <c r="V14" s="85"/>
    </row>
    <row r="15" ht="14.25" hidden="1" customHeight="1">
      <c r="C15" s="73" t="str">
        <f t="shared" ref="C15:C17" si="11">C6</f>
        <v>Agri Input</v>
      </c>
      <c r="D15" s="212">
        <v>0.02</v>
      </c>
      <c r="E15" s="116" t="str">
        <f>SUM('16.Facility 5 Agri Input'!D198:D259)*$D$15</f>
        <v>  -   </v>
      </c>
      <c r="F15" s="116" t="str">
        <f>SUM('16.Facility 5 Agri Input'!E198:E259)*$D$15</f>
        <v>  -   </v>
      </c>
      <c r="G15" s="116" t="str">
        <f>SUM('16.Facility 5 Agri Input'!F198:F259)*$D$15</f>
        <v>  -   </v>
      </c>
      <c r="H15" s="116" t="str">
        <f>SUM('16.Facility 5 Agri Input'!G198:G259)*$D$15</f>
        <v>  -   </v>
      </c>
      <c r="I15" s="116" t="str">
        <f>SUM('16.Facility 5 Agri Input'!H198:H259)*$D$15</f>
        <v>  -   </v>
      </c>
      <c r="J15" s="116" t="str">
        <f>SUM('16.Facility 5 Agri Input'!I198:I259)*$D$15</f>
        <v>  -   </v>
      </c>
      <c r="K15" s="116" t="str">
        <f>SUM('16.Facility 5 Agri Input'!J198:J259)*$D$15</f>
        <v>  -   </v>
      </c>
      <c r="L15" s="111"/>
      <c r="M15" s="111"/>
      <c r="N15" s="85"/>
      <c r="O15" s="85"/>
      <c r="P15" s="85"/>
      <c r="Q15" s="85"/>
      <c r="R15" s="85"/>
      <c r="U15" s="85"/>
      <c r="V15" s="85"/>
    </row>
    <row r="16" ht="14.25" hidden="1" customHeight="1">
      <c r="C16" s="73" t="str">
        <f t="shared" si="11"/>
        <v>Trading</v>
      </c>
      <c r="D16" s="212">
        <v>0.01</v>
      </c>
      <c r="E16" s="116" t="str">
        <f>SUM('12.Facility 1 - Trading'!D188:D197)*$D$16</f>
        <v>  -   </v>
      </c>
      <c r="F16" s="116" t="str">
        <f>SUM('12.Facility 1 - Trading'!E188:E197)*$D$16</f>
        <v>  -   </v>
      </c>
      <c r="G16" s="116" t="str">
        <f>SUM('12.Facility 1 - Trading'!F188:F197)*$D$16</f>
        <v>  -   </v>
      </c>
      <c r="H16" s="116" t="str">
        <f>SUM('12.Facility 1 - Trading'!G188:G197)*$D$16</f>
        <v>  -   </v>
      </c>
      <c r="I16" s="116" t="str">
        <f>SUM('12.Facility 1 - Trading'!H188:H197)*$D$16</f>
        <v>  -   </v>
      </c>
      <c r="J16" s="116" t="str">
        <f>SUM('12.Facility 1 - Trading'!I188:I197)*$D$16</f>
        <v>  -   </v>
      </c>
      <c r="K16" s="116" t="str">
        <f>SUM('12.Facility 1 - Trading'!J188:J197)*$D$16</f>
        <v>  -   </v>
      </c>
      <c r="L16" s="111"/>
      <c r="M16" s="111"/>
      <c r="N16" s="206" t="s">
        <v>387</v>
      </c>
      <c r="O16" s="213" t="str">
        <f t="shared" ref="O16:R16" si="12">SUM(O8:O13)</f>
        <v>#ERROR!</v>
      </c>
      <c r="P16" s="213" t="str">
        <f t="shared" si="12"/>
        <v>#ERROR!</v>
      </c>
      <c r="Q16" s="213" t="str">
        <f t="shared" si="12"/>
        <v>#ERROR!</v>
      </c>
      <c r="R16" s="213" t="str">
        <f t="shared" si="12"/>
        <v>#ERROR!</v>
      </c>
      <c r="U16" s="206" t="s">
        <v>88</v>
      </c>
      <c r="V16" s="213" t="str">
        <f>SUM(V8:V15)</f>
        <v>8397.50</v>
      </c>
    </row>
    <row r="17" ht="14.25" customHeight="1">
      <c r="C17" s="73" t="str">
        <f t="shared" si="11"/>
        <v>Grain Processing - Dal Mill</v>
      </c>
      <c r="D17" s="212">
        <v>0.02</v>
      </c>
      <c r="E17" s="116" t="str">
        <f>SUM('13.Facility 2 Grain Processing'!D150:D161)*$D$17</f>
        <v>  247,233 </v>
      </c>
      <c r="F17" s="116" t="str">
        <f>SUM('13.Facility 2 Grain Processing'!E150:E161)*$D$17</f>
        <v>  302,860 </v>
      </c>
      <c r="G17" s="116" t="str">
        <f>SUM('13.Facility 2 Grain Processing'!F150:F161)*$D$17</f>
        <v>  363,432 </v>
      </c>
      <c r="H17" s="116" t="str">
        <f>SUM('13.Facility 2 Grain Processing'!G150:G161)*$D$17</f>
        <v>  429,304 </v>
      </c>
      <c r="I17" s="116" t="str">
        <f>SUM('13.Facility 2 Grain Processing'!H150:H161)*$D$17</f>
        <v>  500,855 </v>
      </c>
      <c r="J17" s="116" t="str">
        <f>SUM('13.Facility 2 Grain Processing'!I150:I161)*$D$17</f>
        <v>  578,488 </v>
      </c>
      <c r="K17" s="116" t="str">
        <f>SUM('13.Facility 2 Grain Processing'!J150:J161)*$D$17</f>
        <v>  662,631 </v>
      </c>
      <c r="L17" s="111"/>
      <c r="M17" s="111"/>
    </row>
    <row r="18" ht="14.25" hidden="1" customHeight="1">
      <c r="C18" s="73" t="s">
        <v>388</v>
      </c>
      <c r="D18" s="212">
        <v>0.05</v>
      </c>
      <c r="E18" s="116" t="str">
        <f>SUM('17.Facility 6 Horti Processing '!D163:D173)*$D$18</f>
        <v>  -   </v>
      </c>
      <c r="F18" s="116" t="str">
        <f>SUM('17.Facility 6 Horti Processing '!E163:E173)*$D$18</f>
        <v>  -   </v>
      </c>
      <c r="G18" s="116" t="str">
        <f>SUM('17.Facility 6 Horti Processing '!F163:F173)*$D$18</f>
        <v>  -   </v>
      </c>
      <c r="H18" s="116" t="str">
        <f>SUM('17.Facility 6 Horti Processing '!G163:G173)*$D$18</f>
        <v>  -   </v>
      </c>
      <c r="I18" s="116" t="str">
        <f>SUM('17.Facility 6 Horti Processing '!H163:H173)*$D$18</f>
        <v>  -   </v>
      </c>
      <c r="J18" s="116" t="str">
        <f>SUM('17.Facility 6 Horti Processing '!I163:I173)*$D$18</f>
        <v>  -   </v>
      </c>
      <c r="K18" s="116" t="str">
        <f>SUM('17.Facility 6 Horti Processing '!J163:J173)*$D$18</f>
        <v>  -   </v>
      </c>
      <c r="L18" s="111"/>
      <c r="M18" s="111"/>
    </row>
    <row r="19" ht="14.25" customHeight="1">
      <c r="C19" s="73"/>
      <c r="D19" s="214"/>
      <c r="E19" s="116"/>
      <c r="F19" s="116"/>
      <c r="G19" s="116"/>
      <c r="H19" s="116"/>
      <c r="I19" s="116"/>
      <c r="J19" s="116"/>
      <c r="K19" s="116"/>
      <c r="L19" s="111"/>
      <c r="M19" s="111"/>
    </row>
    <row r="20" ht="14.25" customHeight="1">
      <c r="C20" s="73"/>
      <c r="D20" s="73"/>
      <c r="E20" s="73"/>
      <c r="F20" s="116"/>
      <c r="G20" s="116"/>
      <c r="H20" s="116"/>
      <c r="I20" s="116"/>
      <c r="J20" s="116"/>
      <c r="K20" s="116"/>
      <c r="L20" s="111"/>
      <c r="M20" s="111"/>
    </row>
    <row r="21" ht="14.25" customHeight="1">
      <c r="C21" s="73" t="s">
        <v>88</v>
      </c>
      <c r="D21" s="73"/>
      <c r="E21" s="116" t="str">
        <f t="shared" ref="E21:K21" si="13">SUM(E15:E20)</f>
        <v>  247,233 </v>
      </c>
      <c r="F21" s="116" t="str">
        <f t="shared" si="13"/>
        <v>  302,860 </v>
      </c>
      <c r="G21" s="116" t="str">
        <f t="shared" si="13"/>
        <v>  363,432 </v>
      </c>
      <c r="H21" s="116" t="str">
        <f t="shared" si="13"/>
        <v>  429,304 </v>
      </c>
      <c r="I21" s="116" t="str">
        <f t="shared" si="13"/>
        <v>  500,855 </v>
      </c>
      <c r="J21" s="116" t="str">
        <f t="shared" si="13"/>
        <v>  578,488 </v>
      </c>
      <c r="K21" s="116" t="str">
        <f t="shared" si="13"/>
        <v>  662,631 </v>
      </c>
      <c r="L21" s="111"/>
      <c r="M21" s="111"/>
    </row>
    <row r="22" ht="14.25" customHeight="1">
      <c r="C22" s="111"/>
      <c r="D22" s="111"/>
      <c r="E22" s="187"/>
      <c r="F22" s="187"/>
      <c r="G22" s="187"/>
      <c r="H22" s="187"/>
      <c r="I22" s="187"/>
      <c r="J22" s="187"/>
      <c r="K22" s="187"/>
      <c r="L22" s="111"/>
      <c r="M22" s="111"/>
    </row>
    <row r="23" ht="14.25" customHeight="1">
      <c r="C23" s="111"/>
      <c r="D23" s="111"/>
      <c r="E23" s="111"/>
      <c r="F23" s="187"/>
      <c r="G23" s="187"/>
      <c r="H23" s="187"/>
      <c r="I23" s="187"/>
      <c r="J23" s="187"/>
      <c r="K23" s="187"/>
      <c r="L23" s="111"/>
      <c r="M23" s="111"/>
    </row>
    <row r="24" ht="40.5" customHeight="1">
      <c r="A24" s="215" t="s">
        <v>389</v>
      </c>
      <c r="L24" s="216"/>
      <c r="M24" s="216"/>
      <c r="N24" s="216"/>
      <c r="O24" s="217"/>
      <c r="P24" s="217"/>
      <c r="Q24" s="217"/>
      <c r="R24" s="217"/>
    </row>
    <row r="25" ht="14.25" customHeight="1">
      <c r="A25" t="s">
        <v>369</v>
      </c>
    </row>
    <row r="26" ht="14.25" customHeight="1">
      <c r="A26">
        <v>1.0</v>
      </c>
      <c r="B26" t="s">
        <v>390</v>
      </c>
    </row>
    <row r="27" ht="14.25" customHeight="1"/>
    <row r="28" ht="14.25" customHeight="1"/>
    <row r="29" ht="14.25" customHeight="1">
      <c r="B29" s="25" t="s">
        <v>391</v>
      </c>
    </row>
    <row r="30" ht="14.25" customHeight="1"/>
    <row r="31" ht="14.25" customHeight="1">
      <c r="B31" s="218" t="s">
        <v>82</v>
      </c>
      <c r="C31" s="218" t="s">
        <v>190</v>
      </c>
      <c r="D31" s="219" t="s">
        <v>392</v>
      </c>
      <c r="E31" s="220" t="s">
        <v>84</v>
      </c>
      <c r="F31" s="204"/>
      <c r="G31" s="204"/>
      <c r="H31" s="204"/>
      <c r="I31" s="204"/>
      <c r="J31" s="204"/>
      <c r="K31" s="205"/>
    </row>
    <row r="32" ht="14.25" customHeight="1">
      <c r="B32" s="21"/>
      <c r="C32" s="21"/>
      <c r="D32" s="21"/>
      <c r="E32" s="58" t="s">
        <v>193</v>
      </c>
      <c r="F32" s="58" t="s">
        <v>194</v>
      </c>
      <c r="G32" s="58" t="s">
        <v>195</v>
      </c>
      <c r="H32" s="58" t="s">
        <v>196</v>
      </c>
      <c r="I32" s="58" t="s">
        <v>197</v>
      </c>
      <c r="J32" s="58" t="s">
        <v>198</v>
      </c>
      <c r="K32" s="58" t="s">
        <v>199</v>
      </c>
    </row>
    <row r="33" ht="14.25" customHeight="1">
      <c r="B33" s="221"/>
      <c r="C33" s="222"/>
      <c r="D33" s="222"/>
      <c r="E33" s="223"/>
      <c r="F33" s="223"/>
      <c r="G33" s="223"/>
      <c r="H33" s="223"/>
      <c r="I33" s="223"/>
      <c r="J33" s="223"/>
      <c r="K33" s="223"/>
    </row>
    <row r="34" ht="14.25" customHeight="1">
      <c r="B34" s="76" t="s">
        <v>19</v>
      </c>
      <c r="C34" s="77" t="s">
        <v>393</v>
      </c>
      <c r="D34" s="104"/>
      <c r="E34" s="224"/>
      <c r="F34" s="224"/>
      <c r="G34" s="224"/>
      <c r="H34" s="224"/>
      <c r="I34" s="224"/>
      <c r="J34" s="224"/>
      <c r="K34" s="224"/>
    </row>
    <row r="35" ht="14.25" hidden="1" customHeight="1">
      <c r="B35" s="72">
        <v>1.0</v>
      </c>
      <c r="C35" s="84" t="s">
        <v>376</v>
      </c>
      <c r="D35" s="104">
        <v>14.0</v>
      </c>
      <c r="E35" s="224" t="str">
        <f>('16.Facility 5 Agri Input'!D191/365)*$D$35</f>
        <v>  -   </v>
      </c>
      <c r="F35" s="224" t="str">
        <f>('16.Facility 5 Agri Input'!E191/365)*$D$35</f>
        <v>  -   </v>
      </c>
      <c r="G35" s="224" t="str">
        <f>('16.Facility 5 Agri Input'!F191/365)*$D$35</f>
        <v>  -   </v>
      </c>
      <c r="H35" s="224" t="str">
        <f>('16.Facility 5 Agri Input'!G191/365)*$D$35</f>
        <v>  -   </v>
      </c>
      <c r="I35" s="224" t="str">
        <f>('16.Facility 5 Agri Input'!H191/365)*$D$35</f>
        <v>  -   </v>
      </c>
      <c r="J35" s="224" t="str">
        <f>('16.Facility 5 Agri Input'!I191/365)*$D$35</f>
        <v>  -   </v>
      </c>
      <c r="K35" s="224" t="str">
        <f>('16.Facility 5 Agri Input'!J191/365)*$D$35</f>
        <v>  -   </v>
      </c>
    </row>
    <row r="36" ht="14.25" customHeight="1">
      <c r="B36" s="72">
        <v>2.0</v>
      </c>
      <c r="C36" s="84" t="s">
        <v>137</v>
      </c>
      <c r="D36" s="104">
        <v>14.0</v>
      </c>
      <c r="E36" s="224" t="str">
        <f>('15. Facility 4 Custom Hiring'!E37/365)*$D$36</f>
        <v>  78,860 </v>
      </c>
      <c r="F36" s="224" t="str">
        <f>('15. Facility 4 Custom Hiring'!F37/365)*$D$36</f>
        <v>  82,803 </v>
      </c>
      <c r="G36" s="224" t="str">
        <f>('15. Facility 4 Custom Hiring'!G37/365)*$D$36</f>
        <v>  86,943 </v>
      </c>
      <c r="H36" s="224" t="str">
        <f>('15. Facility 4 Custom Hiring'!H37/365)*$D$36</f>
        <v>  91,291 </v>
      </c>
      <c r="I36" s="224" t="str">
        <f>('15. Facility 4 Custom Hiring'!I37/365)*$D$36</f>
        <v>  95,855 </v>
      </c>
      <c r="J36" s="224" t="str">
        <f>('15. Facility 4 Custom Hiring'!J37/365)*$D$36</f>
        <v>  100,648 </v>
      </c>
      <c r="K36" s="224" t="str">
        <f>('15. Facility 4 Custom Hiring'!K37/365)*$D$36</f>
        <v>  105,680 </v>
      </c>
    </row>
    <row r="37" ht="14.25" hidden="1" customHeight="1">
      <c r="B37" s="72">
        <v>3.0</v>
      </c>
      <c r="C37" s="84" t="s">
        <v>378</v>
      </c>
      <c r="D37" s="104">
        <v>9.0</v>
      </c>
      <c r="E37" s="224" t="str">
        <f>('12.Facility 1 - Trading'!D184/365)*$D$37</f>
        <v>  -   </v>
      </c>
      <c r="F37" s="224" t="str">
        <f>('12.Facility 1 - Trading'!E184/365)*$D$37</f>
        <v>  -   </v>
      </c>
      <c r="G37" s="224" t="str">
        <f>('12.Facility 1 - Trading'!F184/365)*$D$37</f>
        <v>  -   </v>
      </c>
      <c r="H37" s="224" t="str">
        <f>('12.Facility 1 - Trading'!G184/365)*$D$37</f>
        <v>  -   </v>
      </c>
      <c r="I37" s="224" t="str">
        <f>('12.Facility 1 - Trading'!H184/365)*$D$37</f>
        <v>  -   </v>
      </c>
      <c r="J37" s="224" t="str">
        <f>('12.Facility 1 - Trading'!I184/365)*$D$37</f>
        <v>  -   </v>
      </c>
      <c r="K37" s="224" t="str">
        <f>('12.Facility 1 - Trading'!J184/365)*$D$37</f>
        <v>  -   </v>
      </c>
    </row>
    <row r="38" ht="14.25" customHeight="1">
      <c r="B38" s="72">
        <v>4.0</v>
      </c>
      <c r="C38" s="84" t="s">
        <v>150</v>
      </c>
      <c r="D38" s="104">
        <v>14.0</v>
      </c>
      <c r="E38" s="224" t="str">
        <f>('13.Facility 2 Grain Processing'!D146/365)*$D$38</f>
        <v>  624,418 </v>
      </c>
      <c r="F38" s="224" t="str">
        <f>('13.Facility 2 Grain Processing'!E146/365)*$D$38</f>
        <v>  775,111 </v>
      </c>
      <c r="G38" s="224" t="str">
        <f>('13.Facility 2 Grain Processing'!F146/365)*$D$38</f>
        <v>  930,388 </v>
      </c>
      <c r="H38" s="224" t="str">
        <f>('13.Facility 2 Grain Processing'!G146/365)*$D$38</f>
        <v>  1,099,255 </v>
      </c>
      <c r="I38" s="224" t="str">
        <f>('13.Facility 2 Grain Processing'!H146/365)*$D$38</f>
        <v>  1,282,683 </v>
      </c>
      <c r="J38" s="224" t="str">
        <f>('13.Facility 2 Grain Processing'!I146/365)*$D$38</f>
        <v>  1,481,706 </v>
      </c>
      <c r="K38" s="224" t="str">
        <f>('13.Facility 2 Grain Processing'!J146/365)*$D$38</f>
        <v>  1,697,424 </v>
      </c>
    </row>
    <row r="39" ht="14.25" customHeight="1">
      <c r="B39" s="72">
        <v>5.0</v>
      </c>
      <c r="C39" s="84" t="s">
        <v>394</v>
      </c>
      <c r="D39" s="104">
        <v>14.0</v>
      </c>
      <c r="E39" s="224" t="str">
        <f>('14. Facility 3 Warehouse'!D23/365)*$D$39</f>
        <v>  87,489 </v>
      </c>
      <c r="F39" s="224" t="str">
        <f>('14. Facility 3 Warehouse'!E23/365)*$D$39</f>
        <v>  97,605 </v>
      </c>
      <c r="G39" s="224" t="str">
        <f>('14. Facility 3 Warehouse'!F23/365)*$D$39</f>
        <v>  108,514 </v>
      </c>
      <c r="H39" s="224" t="str">
        <f>('14. Facility 3 Warehouse'!G23/365)*$D$39</f>
        <v>  120,269 </v>
      </c>
      <c r="I39" s="224" t="str">
        <f>('14. Facility 3 Warehouse'!H23/365)*$D$39</f>
        <v>  132,929 </v>
      </c>
      <c r="J39" s="224" t="str">
        <f>('14. Facility 3 Warehouse'!I23/365)*$D$39</f>
        <v>  139,576 </v>
      </c>
      <c r="K39" s="224" t="str">
        <f>('14. Facility 3 Warehouse'!J23/365)*$D$39</f>
        <v>  146,554 </v>
      </c>
    </row>
    <row r="40" ht="14.25" hidden="1" customHeight="1">
      <c r="B40" s="72">
        <v>6.0</v>
      </c>
      <c r="C40" s="84" t="s">
        <v>395</v>
      </c>
      <c r="D40" s="104">
        <v>14.0</v>
      </c>
      <c r="E40" s="224" t="str">
        <f>('17.Facility 6 Horti Processing '!D159/365)*$D$40</f>
        <v>  -   </v>
      </c>
      <c r="F40" s="224" t="str">
        <f>('17.Facility 6 Horti Processing '!E159/365)*$D$40</f>
        <v>  -   </v>
      </c>
      <c r="G40" s="224" t="str">
        <f>('17.Facility 6 Horti Processing '!F159/365)*$D$40</f>
        <v>  -   </v>
      </c>
      <c r="H40" s="224" t="str">
        <f>('17.Facility 6 Horti Processing '!G159/365)*$D$40</f>
        <v>  -   </v>
      </c>
      <c r="I40" s="224" t="str">
        <f>('17.Facility 6 Horti Processing '!H159/365)*$D$40</f>
        <v>  -   </v>
      </c>
      <c r="J40" s="224" t="str">
        <f>('17.Facility 6 Horti Processing '!I159/365)*$D$40</f>
        <v>  -   </v>
      </c>
      <c r="K40" s="224" t="str">
        <f>('17.Facility 6 Horti Processing '!J159/365)*$D$40</f>
        <v>  -   </v>
      </c>
    </row>
    <row r="41" ht="14.25" customHeight="1">
      <c r="B41" s="72"/>
      <c r="C41" s="84"/>
      <c r="D41" s="104"/>
      <c r="E41" s="224"/>
      <c r="F41" s="224"/>
      <c r="G41" s="224"/>
      <c r="H41" s="224"/>
      <c r="I41" s="224"/>
      <c r="J41" s="224"/>
      <c r="K41" s="224"/>
    </row>
    <row r="42" ht="14.25" customHeight="1">
      <c r="B42" s="76"/>
      <c r="C42" s="77" t="s">
        <v>149</v>
      </c>
      <c r="D42" s="104"/>
      <c r="E42" s="224" t="str">
        <f t="shared" ref="E42:K42" si="14">SUM(E35:E41)</f>
        <v>  790,767 </v>
      </c>
      <c r="F42" s="224" t="str">
        <f t="shared" si="14"/>
        <v>  955,519 </v>
      </c>
      <c r="G42" s="224" t="str">
        <f t="shared" si="14"/>
        <v>  1,125,845 </v>
      </c>
      <c r="H42" s="224" t="str">
        <f t="shared" si="14"/>
        <v>  1,310,815 </v>
      </c>
      <c r="I42" s="224" t="str">
        <f t="shared" si="14"/>
        <v>  1,511,467 </v>
      </c>
      <c r="J42" s="224" t="str">
        <f t="shared" si="14"/>
        <v>  1,721,929 </v>
      </c>
      <c r="K42" s="224" t="str">
        <f t="shared" si="14"/>
        <v>  1,949,658 </v>
      </c>
    </row>
    <row r="43" ht="14.25" customHeight="1">
      <c r="B43" s="76" t="s">
        <v>61</v>
      </c>
      <c r="C43" s="77" t="s">
        <v>386</v>
      </c>
      <c r="D43" s="104"/>
      <c r="E43" s="224" t="str">
        <f>'5.Closing Stock &amp; W Capital'!E21</f>
        <v>  247,233 </v>
      </c>
      <c r="F43" s="224" t="str">
        <f>'5.Closing Stock &amp; W Capital'!F21</f>
        <v>  302,860 </v>
      </c>
      <c r="G43" s="224" t="str">
        <f>'5.Closing Stock &amp; W Capital'!G21</f>
        <v>  363,432 </v>
      </c>
      <c r="H43" s="224" t="str">
        <f>'5.Closing Stock &amp; W Capital'!H21</f>
        <v>  429,304 </v>
      </c>
      <c r="I43" s="224" t="str">
        <f>'5.Closing Stock &amp; W Capital'!I21</f>
        <v>  500,855 </v>
      </c>
      <c r="J43" s="224" t="str">
        <f>'5.Closing Stock &amp; W Capital'!J21</f>
        <v>  578,488 </v>
      </c>
      <c r="K43" s="224" t="str">
        <f>'5.Closing Stock &amp; W Capital'!K21</f>
        <v>  662,631 </v>
      </c>
    </row>
    <row r="44" ht="14.25" customHeight="1">
      <c r="B44" s="76"/>
      <c r="C44" s="84"/>
      <c r="D44" s="104"/>
      <c r="E44" s="224"/>
      <c r="F44" s="224"/>
      <c r="G44" s="224"/>
      <c r="H44" s="224"/>
      <c r="I44" s="224"/>
      <c r="J44" s="224"/>
      <c r="K44" s="224"/>
    </row>
    <row r="45" ht="14.25" customHeight="1">
      <c r="B45" s="80" t="s">
        <v>88</v>
      </c>
      <c r="C45" s="6"/>
      <c r="D45" s="225"/>
      <c r="E45" s="78" t="str">
        <f t="shared" ref="E45:K45" si="15">SUM(E42:E43)</f>
        <v>  1,038,000 </v>
      </c>
      <c r="F45" s="78" t="str">
        <f t="shared" si="15"/>
        <v>  1,258,379 </v>
      </c>
      <c r="G45" s="78" t="str">
        <f t="shared" si="15"/>
        <v>  1,489,277 </v>
      </c>
      <c r="H45" s="78" t="str">
        <f t="shared" si="15"/>
        <v>  1,740,119 </v>
      </c>
      <c r="I45" s="78" t="str">
        <f t="shared" si="15"/>
        <v>  2,012,323 </v>
      </c>
      <c r="J45" s="78" t="str">
        <f t="shared" si="15"/>
        <v>  2,300,417 </v>
      </c>
      <c r="K45" s="78" t="str">
        <f t="shared" si="15"/>
        <v>  2,612,290 </v>
      </c>
    </row>
    <row r="46" ht="14.25" customHeight="1">
      <c r="B46" s="76"/>
      <c r="C46" s="77"/>
      <c r="D46" s="104"/>
      <c r="E46" s="224"/>
      <c r="F46" s="224"/>
      <c r="G46" s="224"/>
      <c r="H46" s="224"/>
      <c r="I46" s="224"/>
      <c r="J46" s="224"/>
      <c r="K46" s="224"/>
    </row>
    <row r="47" ht="34.5" customHeight="1">
      <c r="B47" s="76" t="s">
        <v>170</v>
      </c>
      <c r="C47" s="84" t="s">
        <v>396</v>
      </c>
      <c r="D47" s="104"/>
      <c r="E47" s="224"/>
      <c r="F47" s="224"/>
      <c r="G47" s="224"/>
      <c r="H47" s="224"/>
      <c r="I47" s="224"/>
      <c r="J47" s="224"/>
      <c r="K47" s="224"/>
    </row>
    <row r="48" ht="14.25" hidden="1" customHeight="1">
      <c r="B48" s="72">
        <v>1.0</v>
      </c>
      <c r="C48" s="84" t="str">
        <f t="shared" ref="C48:C53" si="16">C35</f>
        <v>Agri Input</v>
      </c>
      <c r="D48" s="104">
        <v>7.0</v>
      </c>
      <c r="E48" s="224" t="str">
        <f>(SUM('16.Facility 5 Agri Input'!D198:D259)/365)*$D$48</f>
        <v>  -   </v>
      </c>
      <c r="F48" s="224" t="str">
        <f>(SUM('16.Facility 5 Agri Input'!E198:E259)/365)*$D$48</f>
        <v>  -   </v>
      </c>
      <c r="G48" s="224" t="str">
        <f>(SUM('16.Facility 5 Agri Input'!F198:F259)/365)*$D$48</f>
        <v>  -   </v>
      </c>
      <c r="H48" s="224" t="str">
        <f>(SUM('16.Facility 5 Agri Input'!G198:G259)/365)*$D$48</f>
        <v>  -   </v>
      </c>
      <c r="I48" s="224" t="str">
        <f>(SUM('16.Facility 5 Agri Input'!H198:H259)/365)*$D$48</f>
        <v>  -   </v>
      </c>
      <c r="J48" s="224" t="str">
        <f>(SUM('16.Facility 5 Agri Input'!I198:I259)/365)*$D$48</f>
        <v>  -   </v>
      </c>
      <c r="K48" s="224" t="str">
        <f>(SUM('16.Facility 5 Agri Input'!J198:J259)/365)*$D$48</f>
        <v>  -   </v>
      </c>
    </row>
    <row r="49" ht="14.25" customHeight="1">
      <c r="B49" s="72">
        <v>2.0</v>
      </c>
      <c r="C49" s="84" t="str">
        <f t="shared" si="16"/>
        <v>Custom Hiring</v>
      </c>
      <c r="D49" s="104">
        <v>7.0</v>
      </c>
      <c r="E49" s="224" t="str">
        <f>('15. Facility 4 Custom Hiring'!E47/365)*$D$50</f>
        <v>  21,307 </v>
      </c>
      <c r="F49" s="224" t="str">
        <f>('15. Facility 4 Custom Hiring'!F47/365)*$D$50</f>
        <v>  22,372 </v>
      </c>
      <c r="G49" s="224" t="str">
        <f>('15. Facility 4 Custom Hiring'!G47/365)*$D$50</f>
        <v>  23,491 </v>
      </c>
      <c r="H49" s="224" t="str">
        <f>('15. Facility 4 Custom Hiring'!H47/365)*$D$50</f>
        <v>  24,665 </v>
      </c>
      <c r="I49" s="224" t="str">
        <f>('15. Facility 4 Custom Hiring'!I47/365)*$D$50</f>
        <v>  25,899 </v>
      </c>
      <c r="J49" s="224" t="str">
        <f>('15. Facility 4 Custom Hiring'!J47/365)*$D$50</f>
        <v>  27,194 </v>
      </c>
      <c r="K49" s="224" t="str">
        <f>('15. Facility 4 Custom Hiring'!K47/365)*$D$50</f>
        <v>  28,553 </v>
      </c>
    </row>
    <row r="50" ht="14.25" hidden="1" customHeight="1">
      <c r="B50" s="72">
        <v>3.0</v>
      </c>
      <c r="C50" s="84" t="str">
        <f t="shared" si="16"/>
        <v>Trading</v>
      </c>
      <c r="D50" s="104">
        <v>7.0</v>
      </c>
      <c r="E50" s="224" t="str">
        <f>(SUM('12.Facility 1 - Trading'!D188:D197)/365)*$D$50</f>
        <v>  -   </v>
      </c>
      <c r="F50" s="224" t="str">
        <f>(SUM('12.Facility 1 - Trading'!E188:E197)/365)*$D$50</f>
        <v>  -   </v>
      </c>
      <c r="G50" s="224" t="str">
        <f>(SUM('12.Facility 1 - Trading'!F188:F197)/365)*$D$50</f>
        <v>  -   </v>
      </c>
      <c r="H50" s="224" t="str">
        <f>(SUM('12.Facility 1 - Trading'!G188:G197)/365)*$D$50</f>
        <v>  -   </v>
      </c>
      <c r="I50" s="224" t="str">
        <f>(SUM('12.Facility 1 - Trading'!H188:H197)/365)*$D$50</f>
        <v>  -   </v>
      </c>
      <c r="J50" s="224" t="str">
        <f>(SUM('12.Facility 1 - Trading'!I188:I197)/365)*$D$50</f>
        <v>  -   </v>
      </c>
      <c r="K50" s="224" t="str">
        <f>(SUM('12.Facility 1 - Trading'!J188:J197)/365)*$D$50</f>
        <v>  -   </v>
      </c>
    </row>
    <row r="51" ht="14.25" customHeight="1">
      <c r="B51" s="72">
        <v>4.0</v>
      </c>
      <c r="C51" s="84" t="str">
        <f t="shared" si="16"/>
        <v>Dal Mill</v>
      </c>
      <c r="D51" s="104">
        <v>7.0</v>
      </c>
      <c r="E51" s="224" t="str">
        <f>(SUM('13.Facility 2 Grain Processing'!D150:D161)/365)*$D$51</f>
        <v>  237,073 </v>
      </c>
      <c r="F51" s="224" t="str">
        <f>(SUM('13.Facility 2 Grain Processing'!E150:E161)/365)*$D$51</f>
        <v>  290,414 </v>
      </c>
      <c r="G51" s="224" t="str">
        <f>(SUM('13.Facility 2 Grain Processing'!F150:F161)/365)*$D$51</f>
        <v>  348,497 </v>
      </c>
      <c r="H51" s="224" t="str">
        <f>(SUM('13.Facility 2 Grain Processing'!G150:G161)/365)*$D$51</f>
        <v>  411,662 </v>
      </c>
      <c r="I51" s="224" t="str">
        <f>(SUM('13.Facility 2 Grain Processing'!H150:H161)/365)*$D$51</f>
        <v>  480,272 </v>
      </c>
      <c r="J51" s="224" t="str">
        <f>(SUM('13.Facility 2 Grain Processing'!I150:I161)/365)*$D$51</f>
        <v>  554,714 </v>
      </c>
      <c r="K51" s="224" t="str">
        <f>(SUM('13.Facility 2 Grain Processing'!J150:J161)/365)*$D$51</f>
        <v>  635,400 </v>
      </c>
    </row>
    <row r="52" ht="14.25" customHeight="1">
      <c r="B52" s="72">
        <v>5.0</v>
      </c>
      <c r="C52" s="84" t="str">
        <f t="shared" si="16"/>
        <v>Warehouse</v>
      </c>
      <c r="D52" s="104">
        <v>7.0</v>
      </c>
      <c r="E52" s="224" t="str">
        <f>('14. Facility 3 Warehouse'!D34/365)*$D$52</f>
        <v>  13,389 </v>
      </c>
      <c r="F52" s="224" t="str">
        <f>('14. Facility 3 Warehouse'!E34/365)*$D$52</f>
        <v>  14,298 </v>
      </c>
      <c r="G52" s="224" t="str">
        <f>('14. Facility 3 Warehouse'!F34/365)*$D$52</f>
        <v>  15,264 </v>
      </c>
      <c r="H52" s="224" t="str">
        <f>('14. Facility 3 Warehouse'!G34/365)*$D$52</f>
        <v>  16,291 </v>
      </c>
      <c r="I52" s="224" t="str">
        <f>('14. Facility 3 Warehouse'!H34/365)*$D$52</f>
        <v>  17,383 </v>
      </c>
      <c r="J52" s="224" t="str">
        <f>('14. Facility 3 Warehouse'!I34/365)*$D$52</f>
        <v>  18,252 </v>
      </c>
      <c r="K52" s="224" t="str">
        <f>('14. Facility 3 Warehouse'!J34/365)*$D$52</f>
        <v>  19,164 </v>
      </c>
    </row>
    <row r="53" ht="14.25" hidden="1" customHeight="1">
      <c r="B53" s="72">
        <v>6.0</v>
      </c>
      <c r="C53" s="84" t="str">
        <f t="shared" si="16"/>
        <v>Processing Unit - Horti Commodity</v>
      </c>
      <c r="D53" s="104">
        <v>7.0</v>
      </c>
      <c r="E53" s="224" t="str">
        <f>(SUM('17.Facility 6 Horti Processing '!D163:D173)/365)*$D$53</f>
        <v>  -   </v>
      </c>
      <c r="F53" s="224" t="str">
        <f>(SUM('17.Facility 6 Horti Processing '!E163:E173)/365)*$D$53</f>
        <v>  -   </v>
      </c>
      <c r="G53" s="224" t="str">
        <f>(SUM('17.Facility 6 Horti Processing '!F163:F173)/365)*$D$53</f>
        <v>  -   </v>
      </c>
      <c r="H53" s="224" t="str">
        <f>(SUM('17.Facility 6 Horti Processing '!G163:G173)/365)*$D$53</f>
        <v>  -   </v>
      </c>
      <c r="I53" s="224" t="str">
        <f>(SUM('17.Facility 6 Horti Processing '!H163:H173)/365)*$D$53</f>
        <v>  -   </v>
      </c>
      <c r="J53" s="224" t="str">
        <f>(SUM('17.Facility 6 Horti Processing '!I163:I173)/365)*$D$53</f>
        <v>  -   </v>
      </c>
      <c r="K53" s="224" t="str">
        <f>(SUM('17.Facility 6 Horti Processing '!J163:J173)/365)*$D$53</f>
        <v>  -   </v>
      </c>
    </row>
    <row r="54" ht="14.25" customHeight="1">
      <c r="B54" s="72"/>
      <c r="C54" s="84"/>
      <c r="D54" s="104"/>
      <c r="E54" s="224"/>
      <c r="F54" s="224"/>
      <c r="G54" s="224"/>
      <c r="H54" s="224"/>
      <c r="I54" s="224"/>
      <c r="J54" s="224"/>
      <c r="K54" s="224"/>
    </row>
    <row r="55" ht="14.25" customHeight="1">
      <c r="B55" s="109"/>
      <c r="C55" s="77" t="s">
        <v>88</v>
      </c>
      <c r="D55" s="104"/>
      <c r="E55" s="78" t="str">
        <f t="shared" ref="E55:K55" si="17">SUM(E48:E54)</f>
        <v>  271,769 </v>
      </c>
      <c r="F55" s="78" t="str">
        <f t="shared" si="17"/>
        <v>  327,084 </v>
      </c>
      <c r="G55" s="78" t="str">
        <f t="shared" si="17"/>
        <v>  387,252 </v>
      </c>
      <c r="H55" s="78" t="str">
        <f t="shared" si="17"/>
        <v>  452,618 </v>
      </c>
      <c r="I55" s="78" t="str">
        <f t="shared" si="17"/>
        <v>  523,553 </v>
      </c>
      <c r="J55" s="78" t="str">
        <f t="shared" si="17"/>
        <v>  600,160 </v>
      </c>
      <c r="K55" s="78" t="str">
        <f t="shared" si="17"/>
        <v>  683,118 </v>
      </c>
    </row>
    <row r="56" ht="14.25" customHeight="1">
      <c r="B56" s="76" t="s">
        <v>173</v>
      </c>
      <c r="C56" s="77" t="s">
        <v>87</v>
      </c>
      <c r="D56" s="104"/>
      <c r="E56" s="78" t="str">
        <f t="shared" ref="E56:K56" si="18">E45-E55</f>
        <v>  766,231 </v>
      </c>
      <c r="F56" s="78" t="str">
        <f t="shared" si="18"/>
        <v>  931,295 </v>
      </c>
      <c r="G56" s="78" t="str">
        <f t="shared" si="18"/>
        <v>  1,102,026 </v>
      </c>
      <c r="H56" s="78" t="str">
        <f t="shared" si="18"/>
        <v>  1,287,501 </v>
      </c>
      <c r="I56" s="78" t="str">
        <f t="shared" si="18"/>
        <v>  1,488,769 </v>
      </c>
      <c r="J56" s="78" t="str">
        <f t="shared" si="18"/>
        <v>  1,700,257 </v>
      </c>
      <c r="K56" s="78" t="str">
        <f t="shared" si="18"/>
        <v>  1,929,172 </v>
      </c>
    </row>
    <row r="57" ht="14.25" customHeight="1">
      <c r="B57" s="76"/>
      <c r="C57" s="77" t="s">
        <v>397</v>
      </c>
      <c r="D57" s="226">
        <v>0.25</v>
      </c>
      <c r="E57" s="78" t="str">
        <f>E56*$D$57</f>
        <v>  191,558 </v>
      </c>
      <c r="F57" s="78"/>
      <c r="G57" s="78"/>
      <c r="H57" s="78"/>
      <c r="I57" s="78"/>
      <c r="J57" s="78"/>
      <c r="K57" s="78"/>
    </row>
    <row r="58" ht="14.25" customHeight="1"/>
    <row r="59" ht="14.25" customHeight="1">
      <c r="E59" s="37"/>
    </row>
    <row r="60" ht="36.75" customHeight="1">
      <c r="A60" s="227" t="s">
        <v>398</v>
      </c>
    </row>
    <row r="61" ht="14.25" customHeight="1">
      <c r="A61" t="s">
        <v>399</v>
      </c>
    </row>
    <row r="62" ht="14.25" customHeight="1">
      <c r="A62">
        <v>1.0</v>
      </c>
      <c r="B62" t="s">
        <v>400</v>
      </c>
    </row>
    <row r="63" ht="14.25" customHeight="1">
      <c r="A63">
        <v>2.0</v>
      </c>
      <c r="B63" t="s">
        <v>401</v>
      </c>
    </row>
    <row r="64" ht="14.25" customHeight="1">
      <c r="A64">
        <v>3.0</v>
      </c>
      <c r="B64" t="s">
        <v>402</v>
      </c>
    </row>
    <row r="65" ht="14.25" customHeight="1"/>
    <row r="66" ht="14.25" customHeight="1"/>
    <row r="67" ht="14.25" customHeight="1">
      <c r="E67" s="37"/>
      <c r="F67" s="44"/>
      <c r="G67" s="44"/>
      <c r="H67" s="44"/>
      <c r="I67" s="44"/>
      <c r="J67" s="44"/>
      <c r="K67" s="44"/>
    </row>
    <row r="68" ht="14.25" customHeight="1">
      <c r="E68" s="44"/>
      <c r="G68" s="44"/>
      <c r="H68" s="44"/>
      <c r="I68" s="44"/>
      <c r="J68" s="44"/>
      <c r="K68" s="44"/>
    </row>
    <row r="69" ht="14.25" customHeight="1">
      <c r="E69" s="44"/>
      <c r="I69" s="44"/>
      <c r="J69" s="44"/>
      <c r="K69" s="44"/>
    </row>
    <row r="70" ht="14.25" customHeight="1">
      <c r="E70" s="37"/>
    </row>
    <row r="71" ht="14.25" customHeight="1">
      <c r="E71" s="37"/>
      <c r="F71" s="37"/>
      <c r="G71" s="37"/>
      <c r="H71" s="37"/>
    </row>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sheetData>
  <mergeCells count="13">
    <mergeCell ref="B29:K29"/>
    <mergeCell ref="B31:B32"/>
    <mergeCell ref="C31:C32"/>
    <mergeCell ref="D31:D32"/>
    <mergeCell ref="E31:K31"/>
    <mergeCell ref="N6:R6"/>
    <mergeCell ref="U5:V5"/>
    <mergeCell ref="U6:V6"/>
    <mergeCell ref="C2:K2"/>
    <mergeCell ref="A24:K24"/>
    <mergeCell ref="N5:R5"/>
    <mergeCell ref="A60:L60"/>
    <mergeCell ref="B45:C45"/>
  </mergeCells>
  <printOptions/>
  <pageMargins bottom="0.75" footer="0.0" header="0.0" left="0.7" right="0.7" top="0.75"/>
  <pageSetup paperSize="9" scale="54"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0.57"/>
    <col customWidth="1" min="2" max="5" width="13.43"/>
    <col customWidth="1" min="6" max="8" width="13.14"/>
    <col customWidth="1" min="9" max="9" width="8.57"/>
    <col customWidth="1" min="10" max="15" width="11.71"/>
    <col customWidth="1" min="16" max="16" width="12.29"/>
  </cols>
  <sheetData>
    <row r="1" ht="14.25" customHeight="1"/>
    <row r="2" ht="14.25" customHeight="1">
      <c r="A2" s="25" t="s">
        <v>403</v>
      </c>
    </row>
    <row r="3" ht="14.25" customHeight="1"/>
    <row r="4" ht="14.25" customHeight="1">
      <c r="B4" s="228"/>
      <c r="C4" s="228"/>
      <c r="D4" s="228"/>
      <c r="E4" s="228"/>
      <c r="F4" s="228"/>
    </row>
    <row r="5" ht="14.25" customHeight="1">
      <c r="A5" s="114" t="s">
        <v>190</v>
      </c>
      <c r="B5" s="115" t="s">
        <v>193</v>
      </c>
      <c r="C5" s="115" t="s">
        <v>194</v>
      </c>
      <c r="D5" s="115" t="s">
        <v>195</v>
      </c>
      <c r="E5" s="115" t="s">
        <v>196</v>
      </c>
      <c r="F5" s="115" t="s">
        <v>197</v>
      </c>
      <c r="G5" s="115" t="s">
        <v>198</v>
      </c>
      <c r="H5" s="115" t="s">
        <v>199</v>
      </c>
    </row>
    <row r="6" ht="14.25" customHeight="1">
      <c r="A6" s="117" t="s">
        <v>404</v>
      </c>
      <c r="B6" s="73"/>
      <c r="C6" s="73"/>
      <c r="D6" s="73"/>
      <c r="E6" s="73"/>
      <c r="F6" s="73"/>
      <c r="G6" s="73"/>
      <c r="H6" s="73"/>
    </row>
    <row r="7" ht="14.25" customHeight="1">
      <c r="A7" s="73"/>
      <c r="B7" s="73"/>
      <c r="C7" s="73"/>
      <c r="D7" s="73"/>
      <c r="E7" s="73"/>
      <c r="F7" s="73"/>
      <c r="G7" s="73"/>
      <c r="H7" s="73"/>
    </row>
    <row r="8" ht="14.25" hidden="1" customHeight="1">
      <c r="A8" s="73" t="s">
        <v>405</v>
      </c>
      <c r="B8" s="116" t="str">
        <f>'12.Facility 1 - Trading'!D184</f>
        <v>  -   </v>
      </c>
      <c r="C8" s="116" t="str">
        <f>'12.Facility 1 - Trading'!E184</f>
        <v>  -   </v>
      </c>
      <c r="D8" s="116" t="str">
        <f>'12.Facility 1 - Trading'!F184</f>
        <v>  -   </v>
      </c>
      <c r="E8" s="116" t="str">
        <f>'12.Facility 1 - Trading'!G184</f>
        <v>  -   </v>
      </c>
      <c r="F8" s="116" t="str">
        <f>'12.Facility 1 - Trading'!H184</f>
        <v>  -   </v>
      </c>
      <c r="G8" s="116" t="str">
        <f>'12.Facility 1 - Trading'!I184</f>
        <v>  -   </v>
      </c>
      <c r="H8" s="116" t="str">
        <f>'12.Facility 1 - Trading'!J184</f>
        <v>  -   </v>
      </c>
      <c r="J8" s="44"/>
      <c r="K8" s="44"/>
      <c r="L8" s="44"/>
      <c r="M8" s="44"/>
      <c r="N8" s="44"/>
      <c r="O8" s="44"/>
      <c r="P8" s="44"/>
    </row>
    <row r="9" ht="14.25" customHeight="1">
      <c r="A9" s="73" t="s">
        <v>406</v>
      </c>
      <c r="B9" s="116" t="str">
        <f>'13.Facility 2 Grain Processing'!D146</f>
        <v>  16,279,465 </v>
      </c>
      <c r="C9" s="116" t="str">
        <f>'13.Facility 2 Grain Processing'!E146</f>
        <v>  20,208,249 </v>
      </c>
      <c r="D9" s="116" t="str">
        <f>'13.Facility 2 Grain Processing'!F146</f>
        <v>  24,256,547 </v>
      </c>
      <c r="E9" s="116" t="str">
        <f>'13.Facility 2 Grain Processing'!G146</f>
        <v>  28,659,153 </v>
      </c>
      <c r="F9" s="116" t="str">
        <f>'13.Facility 2 Grain Processing'!H146</f>
        <v>  33,441,379 </v>
      </c>
      <c r="G9" s="116" t="str">
        <f>'13.Facility 2 Grain Processing'!I146</f>
        <v>  38,630,180 </v>
      </c>
      <c r="H9" s="116" t="str">
        <f>'13.Facility 2 Grain Processing'!J146</f>
        <v>  44,254,257 </v>
      </c>
      <c r="J9" s="44"/>
      <c r="K9" s="44"/>
      <c r="L9" s="44"/>
      <c r="M9" s="44"/>
      <c r="N9" s="44"/>
      <c r="O9" s="44"/>
    </row>
    <row r="10" ht="14.25" customHeight="1">
      <c r="A10" s="73" t="s">
        <v>407</v>
      </c>
      <c r="B10" s="116" t="str">
        <f>'14. Facility 3 Warehouse'!D23</f>
        <v>  2,280,960 </v>
      </c>
      <c r="C10" s="116" t="str">
        <f>'14. Facility 3 Warehouse'!E23</f>
        <v>  2,544,696 </v>
      </c>
      <c r="D10" s="116" t="str">
        <f>'14. Facility 3 Warehouse'!F23</f>
        <v>  2,829,103 </v>
      </c>
      <c r="E10" s="116" t="str">
        <f>'14. Facility 3 Warehouse'!G23</f>
        <v>  3,135,589 </v>
      </c>
      <c r="F10" s="116" t="str">
        <f>'14. Facility 3 Warehouse'!H23</f>
        <v>  3,465,651 </v>
      </c>
      <c r="G10" s="116" t="str">
        <f>'14. Facility 3 Warehouse'!I23</f>
        <v>  3,638,934 </v>
      </c>
      <c r="H10" s="116" t="str">
        <f>'14. Facility 3 Warehouse'!J23</f>
        <v>  3,820,881 </v>
      </c>
      <c r="J10" s="44"/>
      <c r="K10" s="44"/>
      <c r="L10" s="44"/>
      <c r="M10" s="44"/>
      <c r="N10" s="44"/>
      <c r="O10" s="44"/>
    </row>
    <row r="11" ht="14.25" customHeight="1">
      <c r="A11" s="73" t="s">
        <v>408</v>
      </c>
      <c r="B11" s="116" t="str">
        <f>'15. Facility 4 Custom Hiring'!E37</f>
        <v>  2,056,000 </v>
      </c>
      <c r="C11" s="116" t="str">
        <f>'15. Facility 4 Custom Hiring'!F37</f>
        <v>  2,158,800 </v>
      </c>
      <c r="D11" s="116" t="str">
        <f>'15. Facility 4 Custom Hiring'!G37</f>
        <v>  2,266,740 </v>
      </c>
      <c r="E11" s="116" t="str">
        <f>'15. Facility 4 Custom Hiring'!H37</f>
        <v>  2,380,077 </v>
      </c>
      <c r="F11" s="116" t="str">
        <f>'15. Facility 4 Custom Hiring'!I37</f>
        <v>  2,499,081 </v>
      </c>
      <c r="G11" s="116" t="str">
        <f>'15. Facility 4 Custom Hiring'!J37</f>
        <v>  2,624,035 </v>
      </c>
      <c r="H11" s="116" t="str">
        <f>'15. Facility 4 Custom Hiring'!K37</f>
        <v>  2,755,237 </v>
      </c>
      <c r="J11" s="44"/>
      <c r="K11" s="44"/>
      <c r="L11" s="44"/>
      <c r="M11" s="44"/>
      <c r="N11" s="44"/>
      <c r="O11" s="44"/>
    </row>
    <row r="12" ht="14.25" hidden="1" customHeight="1">
      <c r="A12" s="73" t="s">
        <v>409</v>
      </c>
      <c r="B12" s="116" t="str">
        <f>'16.Facility 5 Agri Input'!D191</f>
        <v>  -   </v>
      </c>
      <c r="C12" s="116" t="str">
        <f>'16.Facility 5 Agri Input'!E191</f>
        <v>  -   </v>
      </c>
      <c r="D12" s="116" t="str">
        <f>'16.Facility 5 Agri Input'!F191</f>
        <v>  -   </v>
      </c>
      <c r="E12" s="116" t="str">
        <f>'16.Facility 5 Agri Input'!G191</f>
        <v>  -   </v>
      </c>
      <c r="F12" s="116" t="str">
        <f>'16.Facility 5 Agri Input'!H191</f>
        <v>  -   </v>
      </c>
      <c r="G12" s="116" t="str">
        <f>'16.Facility 5 Agri Input'!I191</f>
        <v>  -   </v>
      </c>
      <c r="H12" s="116" t="str">
        <f>'16.Facility 5 Agri Input'!J191</f>
        <v>  -   </v>
      </c>
      <c r="J12" s="44"/>
      <c r="K12" s="44"/>
      <c r="L12" s="44"/>
      <c r="M12" s="44"/>
      <c r="N12" s="44"/>
      <c r="O12" s="44"/>
    </row>
    <row r="13" ht="14.25" hidden="1" customHeight="1">
      <c r="A13" s="73" t="s">
        <v>410</v>
      </c>
      <c r="B13" s="116" t="str">
        <f>'17.Facility 6 Horti Processing '!D159</f>
        <v>  -   </v>
      </c>
      <c r="C13" s="116" t="str">
        <f>'17.Facility 6 Horti Processing '!E159</f>
        <v>  -   </v>
      </c>
      <c r="D13" s="116" t="str">
        <f>'17.Facility 6 Horti Processing '!F159</f>
        <v>  -   </v>
      </c>
      <c r="E13" s="116" t="str">
        <f>'17.Facility 6 Horti Processing '!G159</f>
        <v>  -   </v>
      </c>
      <c r="F13" s="116" t="str">
        <f>'17.Facility 6 Horti Processing '!H159</f>
        <v>  -   </v>
      </c>
      <c r="G13" s="116" t="str">
        <f>'17.Facility 6 Horti Processing '!I159</f>
        <v>  -   </v>
      </c>
      <c r="H13" s="116" t="str">
        <f>'17.Facility 6 Horti Processing '!J159</f>
        <v>  -   </v>
      </c>
      <c r="J13" s="44"/>
      <c r="K13" s="44"/>
      <c r="L13" s="44"/>
      <c r="M13" s="44"/>
      <c r="N13" s="44"/>
      <c r="O13" s="44"/>
    </row>
    <row r="14" ht="14.25" customHeight="1">
      <c r="A14" s="73"/>
      <c r="B14" s="116"/>
      <c r="C14" s="116"/>
      <c r="D14" s="116"/>
      <c r="E14" s="116"/>
      <c r="F14" s="116"/>
      <c r="G14" s="116"/>
      <c r="H14" s="116"/>
      <c r="J14" s="44"/>
    </row>
    <row r="15" ht="14.25" customHeight="1">
      <c r="A15" s="117" t="s">
        <v>411</v>
      </c>
      <c r="B15" s="118" t="str">
        <f t="shared" ref="B15:H15" si="1">SUM(B8:B14)</f>
        <v>  20,616,425 </v>
      </c>
      <c r="C15" s="118" t="str">
        <f t="shared" si="1"/>
        <v>  24,911,745 </v>
      </c>
      <c r="D15" s="118" t="str">
        <f t="shared" si="1"/>
        <v>  29,352,390 </v>
      </c>
      <c r="E15" s="118" t="str">
        <f t="shared" si="1"/>
        <v>  34,174,820 </v>
      </c>
      <c r="F15" s="118" t="str">
        <f t="shared" si="1"/>
        <v>  39,406,111 </v>
      </c>
      <c r="G15" s="118" t="str">
        <f t="shared" si="1"/>
        <v>  44,893,149 </v>
      </c>
      <c r="H15" s="118" t="str">
        <f t="shared" si="1"/>
        <v>  50,830,374 </v>
      </c>
    </row>
    <row r="16" ht="14.25" customHeight="1">
      <c r="A16" s="73"/>
      <c r="B16" s="116"/>
      <c r="C16" s="116"/>
      <c r="D16" s="116"/>
      <c r="E16" s="116"/>
      <c r="F16" s="116"/>
      <c r="G16" s="116"/>
      <c r="H16" s="116"/>
    </row>
    <row r="17" ht="14.25" customHeight="1">
      <c r="A17" s="117" t="s">
        <v>412</v>
      </c>
      <c r="B17" s="116"/>
      <c r="C17" s="116"/>
      <c r="D17" s="116"/>
      <c r="E17" s="116"/>
      <c r="F17" s="116"/>
      <c r="G17" s="116"/>
      <c r="H17" s="116"/>
    </row>
    <row r="18" ht="14.25" hidden="1" customHeight="1">
      <c r="A18" s="73" t="str">
        <f t="shared" ref="A18:A23" si="2">A8</f>
        <v>Activity 1 - Cleaning &amp; Grading</v>
      </c>
      <c r="B18" s="116" t="str">
        <f>'12.Facility 1 - Trading'!D201</f>
        <v>  -   </v>
      </c>
      <c r="C18" s="116" t="str">
        <f>'12.Facility 1 - Trading'!E201</f>
        <v>  -   </v>
      </c>
      <c r="D18" s="116" t="str">
        <f>'12.Facility 1 - Trading'!F201</f>
        <v>  -   </v>
      </c>
      <c r="E18" s="116" t="str">
        <f>'12.Facility 1 - Trading'!G201</f>
        <v>  -   </v>
      </c>
      <c r="F18" s="116" t="str">
        <f>'12.Facility 1 - Trading'!H201</f>
        <v>  -   </v>
      </c>
      <c r="G18" s="116" t="str">
        <f>'12.Facility 1 - Trading'!I201</f>
        <v>  -   </v>
      </c>
      <c r="H18" s="116" t="str">
        <f>'12.Facility 1 - Trading'!J201</f>
        <v>  -   </v>
      </c>
    </row>
    <row r="19" ht="14.25" customHeight="1">
      <c r="A19" s="73" t="str">
        <f t="shared" si="2"/>
        <v>Activity 1 - Dal Mill</v>
      </c>
      <c r="B19" s="116" t="str">
        <f>'13.Facility 2 Grain Processing'!D165</f>
        <v>  12,114,412 </v>
      </c>
      <c r="C19" s="116" t="str">
        <f>'13.Facility 2 Grain Processing'!E165</f>
        <v>  15,087,388 </v>
      </c>
      <c r="D19" s="116" t="str">
        <f>'13.Facility 2 Grain Processing'!F165</f>
        <v>  18,111,046 </v>
      </c>
      <c r="E19" s="116" t="str">
        <f>'13.Facility 2 Grain Processing'!G165</f>
        <v>  21,399,352 </v>
      </c>
      <c r="F19" s="116" t="str">
        <f>'13.Facility 2 Grain Processing'!H165</f>
        <v>  24,971,211 </v>
      </c>
      <c r="G19" s="116" t="str">
        <f>'13.Facility 2 Grain Processing'!I165</f>
        <v>  28,846,757 </v>
      </c>
      <c r="H19" s="116" t="str">
        <f>'13.Facility 2 Grain Processing'!J165</f>
        <v>  33,047,430 </v>
      </c>
    </row>
    <row r="20" ht="14.25" customHeight="1">
      <c r="A20" s="73" t="str">
        <f t="shared" si="2"/>
        <v>Activity 2 - Warehouse</v>
      </c>
      <c r="B20" s="116" t="str">
        <f>'14. Facility 3 Warehouse'!D34</f>
        <v>  698,160 </v>
      </c>
      <c r="C20" s="116" t="str">
        <f>'14. Facility 3 Warehouse'!E34</f>
        <v>  745,542 </v>
      </c>
      <c r="D20" s="116" t="str">
        <f>'14. Facility 3 Warehouse'!F34</f>
        <v>  795,917 </v>
      </c>
      <c r="E20" s="116" t="str">
        <f>'14. Facility 3 Warehouse'!G34</f>
        <v>  849,465 </v>
      </c>
      <c r="F20" s="116" t="str">
        <f>'14. Facility 3 Warehouse'!H34</f>
        <v>  906,379 </v>
      </c>
      <c r="G20" s="116" t="str">
        <f>'14. Facility 3 Warehouse'!I34</f>
        <v>  951,698 </v>
      </c>
      <c r="H20" s="116" t="str">
        <f>'14. Facility 3 Warehouse'!J34</f>
        <v>  999,283 </v>
      </c>
    </row>
    <row r="21" ht="14.25" customHeight="1">
      <c r="A21" s="73" t="str">
        <f t="shared" si="2"/>
        <v>Activity 3 - Custom Hiring </v>
      </c>
      <c r="B21" s="116" t="str">
        <f>'15. Facility 4 Custom Hiring'!E47</f>
        <v>  1,111,000 </v>
      </c>
      <c r="C21" s="116" t="str">
        <f>'15. Facility 4 Custom Hiring'!F47</f>
        <v>  1,166,550 </v>
      </c>
      <c r="D21" s="116" t="str">
        <f>'15. Facility 4 Custom Hiring'!G47</f>
        <v>  1,224,878 </v>
      </c>
      <c r="E21" s="116" t="str">
        <f>'15. Facility 4 Custom Hiring'!H47</f>
        <v>  1,286,121 </v>
      </c>
      <c r="F21" s="116" t="str">
        <f>'15. Facility 4 Custom Hiring'!I47</f>
        <v>  1,350,427 </v>
      </c>
      <c r="G21" s="116" t="str">
        <f>'15. Facility 4 Custom Hiring'!J47</f>
        <v>  1,417,949 </v>
      </c>
      <c r="H21" s="116" t="str">
        <f>'15. Facility 4 Custom Hiring'!K47</f>
        <v>  1,488,846 </v>
      </c>
    </row>
    <row r="22" ht="14.25" hidden="1" customHeight="1">
      <c r="A22" s="73" t="str">
        <f t="shared" si="2"/>
        <v>Activity 4 - Agri Input Centre</v>
      </c>
      <c r="B22" s="116" t="str">
        <f>'16.Facility 5 Agri Input'!D263</f>
        <v>  -   </v>
      </c>
      <c r="C22" s="116" t="str">
        <f>'16.Facility 5 Agri Input'!E263</f>
        <v>  -   </v>
      </c>
      <c r="D22" s="116" t="str">
        <f>'16.Facility 5 Agri Input'!F263</f>
        <v>  -   </v>
      </c>
      <c r="E22" s="116" t="str">
        <f>'16.Facility 5 Agri Input'!G263</f>
        <v>  -   </v>
      </c>
      <c r="F22" s="116" t="str">
        <f>'16.Facility 5 Agri Input'!H263</f>
        <v>  -   </v>
      </c>
      <c r="G22" s="116" t="str">
        <f>'16.Facility 5 Agri Input'!I263</f>
        <v>  -   </v>
      </c>
      <c r="H22" s="116" t="str">
        <f>'16.Facility 5 Agri Input'!J263</f>
        <v>  -   </v>
      </c>
    </row>
    <row r="23" ht="14.25" hidden="1" customHeight="1">
      <c r="A23" s="73" t="str">
        <f t="shared" si="2"/>
        <v>Facility 6 - Processing Unit - Horti Commodity</v>
      </c>
      <c r="B23" s="116" t="str">
        <f>'17.Facility 6 Horti Processing '!D177</f>
        <v>  -   </v>
      </c>
      <c r="C23" s="116" t="str">
        <f>'17.Facility 6 Horti Processing '!E177</f>
        <v>  -   </v>
      </c>
      <c r="D23" s="116" t="str">
        <f>'17.Facility 6 Horti Processing '!F177</f>
        <v>  -   </v>
      </c>
      <c r="E23" s="116" t="str">
        <f>'17.Facility 6 Horti Processing '!G177</f>
        <v>  -   </v>
      </c>
      <c r="F23" s="116" t="str">
        <f>'17.Facility 6 Horti Processing '!H177</f>
        <v>  -   </v>
      </c>
      <c r="G23" s="116" t="str">
        <f>'17.Facility 6 Horti Processing '!I177</f>
        <v>  -   </v>
      </c>
      <c r="H23" s="116" t="str">
        <f>'17.Facility 6 Horti Processing '!J177</f>
        <v>  -   </v>
      </c>
    </row>
    <row r="24" ht="14.25" customHeight="1">
      <c r="A24" s="73"/>
      <c r="B24" s="116"/>
      <c r="C24" s="116"/>
      <c r="D24" s="116"/>
      <c r="E24" s="116"/>
      <c r="F24" s="116"/>
      <c r="G24" s="116"/>
      <c r="H24" s="116"/>
    </row>
    <row r="25" ht="14.25" customHeight="1">
      <c r="A25" s="117" t="s">
        <v>413</v>
      </c>
      <c r="B25" s="118" t="str">
        <f t="shared" ref="B25:H25" si="3">SUM(B18:B24)</f>
        <v>  13,923,572 </v>
      </c>
      <c r="C25" s="118" t="str">
        <f t="shared" si="3"/>
        <v>  16,999,480 </v>
      </c>
      <c r="D25" s="118" t="str">
        <f t="shared" si="3"/>
        <v>  20,131,840 </v>
      </c>
      <c r="E25" s="118" t="str">
        <f t="shared" si="3"/>
        <v>  23,534,939 </v>
      </c>
      <c r="F25" s="118" t="str">
        <f t="shared" si="3"/>
        <v>  27,228,017 </v>
      </c>
      <c r="G25" s="118" t="str">
        <f t="shared" si="3"/>
        <v>  31,216,403 </v>
      </c>
      <c r="H25" s="118" t="str">
        <f t="shared" si="3"/>
        <v>  35,535,558 </v>
      </c>
      <c r="J25" s="37"/>
    </row>
    <row r="26" ht="14.25" customHeight="1">
      <c r="A26" s="73"/>
      <c r="B26" s="116"/>
      <c r="C26" s="116"/>
      <c r="D26" s="116"/>
      <c r="E26" s="116"/>
      <c r="F26" s="116"/>
      <c r="G26" s="116"/>
      <c r="H26" s="116"/>
    </row>
    <row r="27" ht="14.25" customHeight="1">
      <c r="A27" s="117" t="s">
        <v>414</v>
      </c>
      <c r="B27" s="116"/>
      <c r="C27" s="116"/>
      <c r="D27" s="116"/>
      <c r="E27" s="116"/>
      <c r="F27" s="116"/>
      <c r="G27" s="116"/>
      <c r="H27" s="116"/>
    </row>
    <row r="28" ht="14.25" hidden="1" customHeight="1">
      <c r="A28" s="73" t="str">
        <f t="shared" ref="A28:A33" si="4">A18</f>
        <v>Activity 1 - Cleaning &amp; Grading</v>
      </c>
      <c r="B28" s="116" t="str">
        <f>'12.Facility 1 - Trading'!D207</f>
        <v>  -   </v>
      </c>
      <c r="C28" s="116" t="str">
        <f>'12.Facility 1 - Trading'!E207</f>
        <v>  -   </v>
      </c>
      <c r="D28" s="116" t="str">
        <f>'12.Facility 1 - Trading'!F207</f>
        <v>  -   </v>
      </c>
      <c r="E28" s="116" t="str">
        <f>'12.Facility 1 - Trading'!G207</f>
        <v>  -   </v>
      </c>
      <c r="F28" s="116" t="str">
        <f>'12.Facility 1 - Trading'!H207</f>
        <v>  -   </v>
      </c>
      <c r="G28" s="116" t="str">
        <f>'12.Facility 1 - Trading'!I207</f>
        <v>  -   </v>
      </c>
      <c r="H28" s="116" t="str">
        <f>'12.Facility 1 - Trading'!J207</f>
        <v>  -   </v>
      </c>
    </row>
    <row r="29" ht="14.25" customHeight="1">
      <c r="A29" s="73" t="str">
        <f t="shared" si="4"/>
        <v>Activity 1 - Dal Mill</v>
      </c>
      <c r="B29" s="116" t="str">
        <f>'13.Facility 2 Grain Processing'!D171</f>
        <v>  120,000 </v>
      </c>
      <c r="C29" s="116" t="str">
        <f>'13.Facility 2 Grain Processing'!E171</f>
        <v>  126,000 </v>
      </c>
      <c r="D29" s="116" t="str">
        <f>'13.Facility 2 Grain Processing'!F171</f>
        <v>  132,300 </v>
      </c>
      <c r="E29" s="116" t="str">
        <f>'13.Facility 2 Grain Processing'!G171</f>
        <v>  138,915 </v>
      </c>
      <c r="F29" s="116" t="str">
        <f>'13.Facility 2 Grain Processing'!H171</f>
        <v>  145,861 </v>
      </c>
      <c r="G29" s="116" t="str">
        <f>'13.Facility 2 Grain Processing'!I171</f>
        <v>  153,154 </v>
      </c>
      <c r="H29" s="116" t="str">
        <f>'13.Facility 2 Grain Processing'!J171</f>
        <v>  160,811 </v>
      </c>
    </row>
    <row r="30" ht="14.25" customHeight="1">
      <c r="A30" s="73" t="str">
        <f t="shared" si="4"/>
        <v>Activity 2 - Warehouse</v>
      </c>
      <c r="B30" s="116" t="str">
        <f>'14. Facility 3 Warehouse'!D42</f>
        <v>  120,000 </v>
      </c>
      <c r="C30" s="116" t="str">
        <f>'14. Facility 3 Warehouse'!E42</f>
        <v>  126,000 </v>
      </c>
      <c r="D30" s="116" t="str">
        <f>'14. Facility 3 Warehouse'!F42</f>
        <v>  132,300 </v>
      </c>
      <c r="E30" s="116" t="str">
        <f>'14. Facility 3 Warehouse'!G42</f>
        <v>  138,915 </v>
      </c>
      <c r="F30" s="116" t="str">
        <f>'14. Facility 3 Warehouse'!H42</f>
        <v>  145,861 </v>
      </c>
      <c r="G30" s="116" t="str">
        <f>'14. Facility 3 Warehouse'!I42</f>
        <v>  153,154 </v>
      </c>
      <c r="H30" s="116" t="str">
        <f>'14. Facility 3 Warehouse'!J42</f>
        <v>  160,811 </v>
      </c>
    </row>
    <row r="31" ht="14.25" customHeight="1">
      <c r="A31" s="73" t="str">
        <f t="shared" si="4"/>
        <v>Activity 3 - Custom Hiring </v>
      </c>
      <c r="B31" s="116" t="str">
        <f>'15. Facility 4 Custom Hiring'!E52</f>
        <v>  120,000 </v>
      </c>
      <c r="C31" s="116" t="str">
        <f>'15. Facility 4 Custom Hiring'!F52</f>
        <v>  126,000 </v>
      </c>
      <c r="D31" s="116" t="str">
        <f>'15. Facility 4 Custom Hiring'!G52</f>
        <v>  132,300 </v>
      </c>
      <c r="E31" s="116" t="str">
        <f>'15. Facility 4 Custom Hiring'!H52</f>
        <v>  138,915 </v>
      </c>
      <c r="F31" s="116" t="str">
        <f>'15. Facility 4 Custom Hiring'!I52</f>
        <v>  145,861 </v>
      </c>
      <c r="G31" s="116" t="str">
        <f>'15. Facility 4 Custom Hiring'!J52</f>
        <v>  153,154 </v>
      </c>
      <c r="H31" s="116" t="str">
        <f>'15. Facility 4 Custom Hiring'!K52</f>
        <v>  160,811 </v>
      </c>
    </row>
    <row r="32" ht="14.25" hidden="1" customHeight="1">
      <c r="A32" s="73" t="str">
        <f t="shared" si="4"/>
        <v>Activity 4 - Agri Input Centre</v>
      </c>
      <c r="B32" s="116" t="str">
        <f>'16.Facility 5 Agri Input'!D274</f>
        <v>  -   </v>
      </c>
      <c r="C32" s="116" t="str">
        <f>'16.Facility 5 Agri Input'!E274</f>
        <v>  -   </v>
      </c>
      <c r="D32" s="116" t="str">
        <f>'16.Facility 5 Agri Input'!F274</f>
        <v>  -   </v>
      </c>
      <c r="E32" s="116" t="str">
        <f>'16.Facility 5 Agri Input'!G274</f>
        <v>  -   </v>
      </c>
      <c r="F32" s="116" t="str">
        <f>'16.Facility 5 Agri Input'!H274</f>
        <v>  -   </v>
      </c>
      <c r="G32" s="116" t="str">
        <f>'16.Facility 5 Agri Input'!I274</f>
        <v>  -   </v>
      </c>
      <c r="H32" s="116" t="str">
        <f>'16.Facility 5 Agri Input'!J274</f>
        <v>  -   </v>
      </c>
    </row>
    <row r="33" ht="14.25" hidden="1" customHeight="1">
      <c r="A33" s="73" t="str">
        <f t="shared" si="4"/>
        <v>Facility 6 - Processing Unit - Horti Commodity</v>
      </c>
      <c r="B33" s="116" t="str">
        <f>'17.Facility 6 Horti Processing '!D185</f>
        <v>  -   </v>
      </c>
      <c r="C33" s="116" t="str">
        <f>'17.Facility 6 Horti Processing '!E185</f>
        <v>  -   </v>
      </c>
      <c r="D33" s="116" t="str">
        <f>'17.Facility 6 Horti Processing '!F185</f>
        <v>  -   </v>
      </c>
      <c r="E33" s="116" t="str">
        <f>'17.Facility 6 Horti Processing '!G185</f>
        <v>  -   </v>
      </c>
      <c r="F33" s="116" t="str">
        <f>'17.Facility 6 Horti Processing '!H185</f>
        <v>  -   </v>
      </c>
      <c r="G33" s="116" t="str">
        <f>'17.Facility 6 Horti Processing '!I185</f>
        <v>  -   </v>
      </c>
      <c r="H33" s="116" t="str">
        <f>'17.Facility 6 Horti Processing '!J185</f>
        <v>  -   </v>
      </c>
    </row>
    <row r="34" ht="14.25" customHeight="1">
      <c r="A34" s="73"/>
      <c r="B34" s="116"/>
      <c r="C34" s="116"/>
      <c r="D34" s="116"/>
      <c r="E34" s="116"/>
      <c r="F34" s="116"/>
      <c r="G34" s="116"/>
      <c r="H34" s="116"/>
    </row>
    <row r="35" ht="14.25" customHeight="1">
      <c r="A35" s="73" t="s">
        <v>415</v>
      </c>
      <c r="B35" s="116" t="str">
        <f>'3.Other Exp &amp; Taxes'!E23</f>
        <v>  844,000 </v>
      </c>
      <c r="C35" s="116" t="str">
        <f>'3.Other Exp &amp; Taxes'!F23</f>
        <v>  886,200 </v>
      </c>
      <c r="D35" s="116" t="str">
        <f>'3.Other Exp &amp; Taxes'!G23</f>
        <v>  930,510 </v>
      </c>
      <c r="E35" s="116" t="str">
        <f>'3.Other Exp &amp; Taxes'!H23</f>
        <v>  977,036 </v>
      </c>
      <c r="F35" s="116" t="str">
        <f>'3.Other Exp &amp; Taxes'!I23</f>
        <v>  1,025,887 </v>
      </c>
      <c r="G35" s="116" t="str">
        <f>'3.Other Exp &amp; Taxes'!J23</f>
        <v>  1,077,182 </v>
      </c>
      <c r="H35" s="116" t="str">
        <f>'3.Other Exp &amp; Taxes'!K23</f>
        <v>  1,131,041 </v>
      </c>
    </row>
    <row r="36" ht="14.25" customHeight="1">
      <c r="A36" s="117" t="s">
        <v>416</v>
      </c>
      <c r="B36" s="118" t="str">
        <f t="shared" ref="B36:H36" si="5">SUM(B28:B35)</f>
        <v>  1,204,000 </v>
      </c>
      <c r="C36" s="118" t="str">
        <f t="shared" si="5"/>
        <v>  1,264,200 </v>
      </c>
      <c r="D36" s="118" t="str">
        <f t="shared" si="5"/>
        <v>  1,327,410 </v>
      </c>
      <c r="E36" s="118" t="str">
        <f t="shared" si="5"/>
        <v>  1,393,781 </v>
      </c>
      <c r="F36" s="118" t="str">
        <f t="shared" si="5"/>
        <v>  1,463,470 </v>
      </c>
      <c r="G36" s="118" t="str">
        <f t="shared" si="5"/>
        <v>  1,536,643 </v>
      </c>
      <c r="H36" s="118" t="str">
        <f t="shared" si="5"/>
        <v>  1,613,475 </v>
      </c>
    </row>
    <row r="37" ht="14.25" customHeight="1">
      <c r="A37" s="73"/>
      <c r="B37" s="116"/>
      <c r="C37" s="116"/>
      <c r="D37" s="116"/>
      <c r="E37" s="116"/>
      <c r="F37" s="116"/>
      <c r="G37" s="116"/>
      <c r="H37" s="116"/>
    </row>
    <row r="38" ht="14.25" customHeight="1">
      <c r="A38" s="117" t="s">
        <v>417</v>
      </c>
      <c r="B38" s="118" t="str">
        <f t="shared" ref="B38:H38" si="6">B25+B36</f>
        <v>  15,127,572 </v>
      </c>
      <c r="C38" s="118" t="str">
        <f t="shared" si="6"/>
        <v>  18,263,680 </v>
      </c>
      <c r="D38" s="118" t="str">
        <f t="shared" si="6"/>
        <v>  21,459,250 </v>
      </c>
      <c r="E38" s="118" t="str">
        <f t="shared" si="6"/>
        <v>  24,928,719 </v>
      </c>
      <c r="F38" s="118" t="str">
        <f t="shared" si="6"/>
        <v>  28,691,486 </v>
      </c>
      <c r="G38" s="118" t="str">
        <f t="shared" si="6"/>
        <v>  32,753,046 </v>
      </c>
      <c r="H38" s="118" t="str">
        <f t="shared" si="6"/>
        <v>  37,149,034 </v>
      </c>
    </row>
    <row r="39" ht="14.25" customHeight="1">
      <c r="A39" s="73"/>
      <c r="B39" s="116"/>
      <c r="C39" s="116"/>
      <c r="D39" s="116"/>
      <c r="E39" s="116"/>
      <c r="F39" s="116"/>
      <c r="G39" s="116"/>
      <c r="H39" s="116"/>
    </row>
    <row r="40" ht="14.25" customHeight="1">
      <c r="A40" s="117" t="s">
        <v>418</v>
      </c>
      <c r="B40" s="118" t="str">
        <f t="shared" ref="B40:H40" si="7">B15-B38</f>
        <v>  5,488,853 </v>
      </c>
      <c r="C40" s="118" t="str">
        <f t="shared" si="7"/>
        <v>  6,648,065 </v>
      </c>
      <c r="D40" s="118" t="str">
        <f t="shared" si="7"/>
        <v>  7,893,139 </v>
      </c>
      <c r="E40" s="118" t="str">
        <f t="shared" si="7"/>
        <v>  9,246,101 </v>
      </c>
      <c r="F40" s="118" t="str">
        <f t="shared" si="7"/>
        <v>  10,714,625 </v>
      </c>
      <c r="G40" s="118" t="str">
        <f t="shared" si="7"/>
        <v>  12,140,102 </v>
      </c>
      <c r="H40" s="118" t="str">
        <f t="shared" si="7"/>
        <v>  13,681,341 </v>
      </c>
      <c r="J40" s="44" t="str">
        <f>B49+B42+B43</f>
        <v>  4,283,223 </v>
      </c>
    </row>
    <row r="41" ht="14.25" customHeight="1">
      <c r="A41" s="73"/>
      <c r="B41" s="116"/>
      <c r="C41" s="116"/>
      <c r="D41" s="116"/>
      <c r="E41" s="116"/>
      <c r="F41" s="116"/>
      <c r="G41" s="116"/>
      <c r="H41" s="116"/>
      <c r="J41" s="184" t="str">
        <f>'5.Closing Stock &amp; W Capital'!E57</f>
        <v>  191,558 </v>
      </c>
    </row>
    <row r="42" ht="14.25" customHeight="1">
      <c r="A42" s="73" t="s">
        <v>220</v>
      </c>
      <c r="B42" s="116" t="str">
        <f>'3.Other Exp &amp; Taxes'!C66</f>
        <v>  1,203,736 </v>
      </c>
      <c r="C42" s="116" t="str">
        <f>'3.Other Exp &amp; Taxes'!D66</f>
        <v>  1,203,736 </v>
      </c>
      <c r="D42" s="116" t="str">
        <f>'3.Other Exp &amp; Taxes'!E66</f>
        <v>  1,203,736 </v>
      </c>
      <c r="E42" s="116" t="str">
        <f>'3.Other Exp &amp; Taxes'!F66</f>
        <v>  1,203,736 </v>
      </c>
      <c r="F42" s="116" t="str">
        <f>'3.Other Exp &amp; Taxes'!G66</f>
        <v>  1,203,736 </v>
      </c>
      <c r="G42" s="116" t="str">
        <f>'3.Other Exp &amp; Taxes'!H66</f>
        <v>  1,203,736 </v>
      </c>
      <c r="H42" s="116" t="str">
        <f>'3.Other Exp &amp; Taxes'!I66</f>
        <v>  1,203,736 </v>
      </c>
      <c r="J42" s="44" t="str">
        <f>J40+J41</f>
        <v>  4,474,781 </v>
      </c>
    </row>
    <row r="43" ht="14.25" customHeight="1">
      <c r="A43" s="73" t="s">
        <v>419</v>
      </c>
      <c r="B43" s="116" t="str">
        <f>'3.Other Exp &amp; Taxes'!C86</f>
        <v>  149,729 </v>
      </c>
      <c r="C43" s="116" t="str">
        <f>'3.Other Exp &amp; Taxes'!D86</f>
        <v>  149,729 </v>
      </c>
      <c r="D43" s="116" t="str">
        <f>'3.Other Exp &amp; Taxes'!E86</f>
        <v>  149,729 </v>
      </c>
      <c r="E43" s="116" t="str">
        <f>'3.Other Exp &amp; Taxes'!F86</f>
        <v>  149,729 </v>
      </c>
      <c r="F43" s="116" t="str">
        <f>'3.Other Exp &amp; Taxes'!G86</f>
        <v>  149,729 </v>
      </c>
      <c r="G43" s="116" t="str">
        <f>'3.Other Exp &amp; Taxes'!H86</f>
        <v>  -   </v>
      </c>
      <c r="H43" s="116" t="str">
        <f>'3.Other Exp &amp; Taxes'!I86</f>
        <v>  -   </v>
      </c>
    </row>
    <row r="44" ht="14.25" customHeight="1">
      <c r="A44" s="73"/>
      <c r="B44" s="116"/>
      <c r="C44" s="116"/>
      <c r="D44" s="116"/>
      <c r="E44" s="116"/>
      <c r="F44" s="116"/>
      <c r="G44" s="116"/>
      <c r="H44" s="116"/>
    </row>
    <row r="45" ht="14.25" customHeight="1">
      <c r="A45" s="117" t="s">
        <v>420</v>
      </c>
      <c r="B45" s="118" t="str">
        <f t="shared" ref="B45:H45" si="8">B40-B42-B43</f>
        <v>  4,135,388 </v>
      </c>
      <c r="C45" s="118" t="str">
        <f t="shared" si="8"/>
        <v>  5,294,601 </v>
      </c>
      <c r="D45" s="118" t="str">
        <f t="shared" si="8"/>
        <v>  6,539,675 </v>
      </c>
      <c r="E45" s="118" t="str">
        <f t="shared" si="8"/>
        <v>  7,892,636 </v>
      </c>
      <c r="F45" s="118" t="str">
        <f t="shared" si="8"/>
        <v>  9,361,160 </v>
      </c>
      <c r="G45" s="118" t="str">
        <f t="shared" si="8"/>
        <v>  10,936,367 </v>
      </c>
      <c r="H45" s="118" t="str">
        <f t="shared" si="8"/>
        <v>  12,477,605 </v>
      </c>
    </row>
    <row r="46" ht="14.25" customHeight="1">
      <c r="A46" s="73"/>
      <c r="B46" s="116"/>
      <c r="C46" s="116"/>
      <c r="D46" s="116"/>
      <c r="E46" s="116"/>
      <c r="F46" s="116"/>
      <c r="G46" s="116"/>
      <c r="H46" s="116"/>
    </row>
    <row r="47" ht="14.25" customHeight="1">
      <c r="A47" s="73" t="s">
        <v>421</v>
      </c>
      <c r="B47" s="116" t="str">
        <f>'8.Cash Flow '!C27+'8.Cash Flow '!C29</f>
        <v>  1,205,629 </v>
      </c>
      <c r="C47" s="116" t="str">
        <f>'8.Cash Flow '!D27+'8.Cash Flow '!D29</f>
        <v>  1,070,742 </v>
      </c>
      <c r="D47" s="116" t="str">
        <f>'8.Cash Flow '!E27+'8.Cash Flow '!E29</f>
        <v>  859,771 </v>
      </c>
      <c r="E47" s="116" t="str">
        <f>'8.Cash Flow '!F27+'8.Cash Flow '!F29</f>
        <v>  621,214 </v>
      </c>
      <c r="F47" s="116" t="str">
        <f>'8.Cash Flow '!G27+'8.Cash Flow '!G29</f>
        <v>  351,475 </v>
      </c>
      <c r="G47" s="116" t="str">
        <f>'8.Cash Flow '!H27+'8.Cash Flow '!H29</f>
        <v>  204,031 </v>
      </c>
      <c r="H47" s="116" t="str">
        <f>'8.Cash Flow '!I27+'8.Cash Flow '!I29</f>
        <v>  231,501 </v>
      </c>
    </row>
    <row r="48" ht="14.25" customHeight="1">
      <c r="A48" s="73"/>
      <c r="B48" s="116"/>
      <c r="C48" s="116"/>
      <c r="D48" s="116"/>
      <c r="E48" s="116"/>
      <c r="F48" s="116"/>
      <c r="G48" s="116"/>
      <c r="H48" s="116"/>
    </row>
    <row r="49" ht="14.25" customHeight="1">
      <c r="A49" s="73" t="s">
        <v>422</v>
      </c>
      <c r="B49" s="116" t="str">
        <f t="shared" ref="B49:H49" si="9">B45-B47</f>
        <v>  2,929,759 </v>
      </c>
      <c r="C49" s="116" t="str">
        <f t="shared" si="9"/>
        <v>  4,223,859 </v>
      </c>
      <c r="D49" s="116" t="str">
        <f t="shared" si="9"/>
        <v>  5,679,904 </v>
      </c>
      <c r="E49" s="116" t="str">
        <f t="shared" si="9"/>
        <v>  7,271,422 </v>
      </c>
      <c r="F49" s="116" t="str">
        <f t="shared" si="9"/>
        <v>  9,009,685 </v>
      </c>
      <c r="G49" s="116" t="str">
        <f t="shared" si="9"/>
        <v>  10,732,336 </v>
      </c>
      <c r="H49" s="116" t="str">
        <f t="shared" si="9"/>
        <v>  12,246,104 </v>
      </c>
    </row>
    <row r="50" ht="14.25" customHeight="1">
      <c r="A50" s="73" t="s">
        <v>423</v>
      </c>
      <c r="B50" s="116" t="str">
        <f>'3.Other Exp &amp; Taxes'!B99</f>
        <v>  172,620 </v>
      </c>
      <c r="C50" s="116" t="str">
        <f>'3.Other Exp &amp; Taxes'!C99</f>
        <v>  612,156 </v>
      </c>
      <c r="D50" s="116" t="str">
        <f>'3.Other Exp &amp; Taxes'!D99</f>
        <v>  1,081,562 </v>
      </c>
      <c r="E50" s="116" t="str">
        <f>'3.Other Exp &amp; Taxes'!E99</f>
        <v>  1,575,467 </v>
      </c>
      <c r="F50" s="116" t="str">
        <f>'3.Other Exp &amp; Taxes'!F99</f>
        <v>  2,098,122 </v>
      </c>
      <c r="G50" s="116" t="str">
        <f>'3.Other Exp &amp; Taxes'!G99</f>
        <v>  2,608,462 </v>
      </c>
      <c r="H50" s="116" t="str">
        <f>'3.Other Exp &amp; Taxes'!H99</f>
        <v>  3,057,240 </v>
      </c>
    </row>
    <row r="51" ht="14.25" customHeight="1">
      <c r="A51" s="117" t="s">
        <v>424</v>
      </c>
      <c r="B51" s="116" t="str">
        <f t="shared" ref="B51:H51" si="10">B49-B50</f>
        <v>  2,757,139 </v>
      </c>
      <c r="C51" s="116" t="str">
        <f t="shared" si="10"/>
        <v>  3,611,703 </v>
      </c>
      <c r="D51" s="116" t="str">
        <f t="shared" si="10"/>
        <v>  4,598,342 </v>
      </c>
      <c r="E51" s="116" t="str">
        <f t="shared" si="10"/>
        <v>  5,695,954 </v>
      </c>
      <c r="F51" s="116" t="str">
        <f t="shared" si="10"/>
        <v>  6,911,563 </v>
      </c>
      <c r="G51" s="116" t="str">
        <f t="shared" si="10"/>
        <v>  8,123,874 </v>
      </c>
      <c r="H51" s="116" t="str">
        <f t="shared" si="10"/>
        <v>  9,188,865 </v>
      </c>
    </row>
    <row r="52" ht="14.25" customHeight="1">
      <c r="A52" s="111"/>
      <c r="B52" s="187"/>
      <c r="C52" s="187"/>
      <c r="D52" s="187"/>
      <c r="E52" s="187"/>
      <c r="F52" s="187"/>
      <c r="G52" s="187"/>
      <c r="H52" s="187"/>
    </row>
    <row r="53" ht="14.25" customHeight="1">
      <c r="A53" s="111" t="s">
        <v>425</v>
      </c>
      <c r="B53" s="187" t="str">
        <f>B51</f>
        <v>  2,757,139 </v>
      </c>
      <c r="C53" s="187" t="str">
        <f t="shared" ref="C53:H53" si="11">B53+C51</f>
        <v>  6,368,842 </v>
      </c>
      <c r="D53" s="187" t="str">
        <f t="shared" si="11"/>
        <v>  10,967,184 </v>
      </c>
      <c r="E53" s="187" t="str">
        <f t="shared" si="11"/>
        <v>  16,663,138 </v>
      </c>
      <c r="F53" s="187" t="str">
        <f t="shared" si="11"/>
        <v>  23,574,702 </v>
      </c>
      <c r="G53" s="187" t="str">
        <f t="shared" si="11"/>
        <v>  31,698,576 </v>
      </c>
      <c r="H53" s="187" t="str">
        <f t="shared" si="11"/>
        <v>  40,887,441 </v>
      </c>
    </row>
    <row r="54" ht="14.25" customHeight="1"/>
    <row r="55" ht="14.25" customHeight="1"/>
    <row r="56" ht="32.25" customHeight="1">
      <c r="A56" s="229" t="s">
        <v>426</v>
      </c>
    </row>
    <row r="57" ht="14.25" customHeight="1"/>
    <row r="58" ht="14.25" customHeight="1">
      <c r="A58" s="230"/>
    </row>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sheetData>
  <mergeCells count="2">
    <mergeCell ref="A2:H2"/>
    <mergeCell ref="A56:I56"/>
  </mergeCells>
  <printOptions/>
  <pageMargins bottom="0.75" footer="0.0" header="0.0" left="0.7" right="0.7" top="0.75"/>
  <pageSetup scale="66" orientation="portrait"/>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7.29"/>
    <col customWidth="1" min="2" max="2" width="18.43"/>
    <col customWidth="1" min="3" max="3" width="12.43"/>
    <col customWidth="1" min="4" max="6" width="13.57"/>
    <col customWidth="1" min="7" max="8" width="12.43"/>
    <col customWidth="1" min="9" max="9" width="9.14"/>
    <col customWidth="1" min="10" max="10" width="32.86"/>
    <col customWidth="1" min="11" max="16" width="8.71"/>
    <col customWidth="1" min="17" max="17" width="10.14"/>
    <col customWidth="1" min="18" max="18" width="9.14"/>
  </cols>
  <sheetData>
    <row r="1" ht="14.25" customHeight="1">
      <c r="A1" s="120"/>
      <c r="G1" s="231"/>
      <c r="H1" s="231"/>
      <c r="I1" s="231"/>
      <c r="J1" s="231"/>
      <c r="K1" s="231"/>
      <c r="L1" s="231"/>
      <c r="M1" s="231"/>
      <c r="N1" s="231"/>
      <c r="O1" s="231"/>
      <c r="P1" s="231"/>
      <c r="Q1" s="231"/>
      <c r="R1" s="231"/>
    </row>
    <row r="2" ht="14.25" customHeight="1">
      <c r="A2" s="232" t="s">
        <v>427</v>
      </c>
      <c r="I2" s="119"/>
      <c r="J2" s="231"/>
      <c r="K2" s="231"/>
      <c r="L2" s="231"/>
      <c r="M2" s="231"/>
      <c r="N2" s="231"/>
      <c r="O2" s="231"/>
      <c r="P2" s="231"/>
      <c r="Q2" s="231"/>
      <c r="R2" s="231"/>
    </row>
    <row r="3" ht="14.25" customHeight="1">
      <c r="A3" s="233"/>
      <c r="B3" s="234"/>
      <c r="C3" s="234"/>
      <c r="D3" s="234"/>
      <c r="E3" s="234"/>
      <c r="F3" s="234"/>
      <c r="G3" s="231"/>
      <c r="H3" s="231"/>
      <c r="I3" s="231"/>
      <c r="J3" s="231"/>
      <c r="K3" s="231"/>
      <c r="L3" s="231"/>
      <c r="M3" s="231"/>
      <c r="N3" s="231"/>
      <c r="O3" s="231"/>
      <c r="P3" s="231"/>
      <c r="Q3" s="231"/>
      <c r="R3" s="231"/>
    </row>
    <row r="4" ht="14.25" customHeight="1">
      <c r="A4" s="235" t="s">
        <v>190</v>
      </c>
      <c r="B4" s="236" t="s">
        <v>193</v>
      </c>
      <c r="C4" s="236" t="s">
        <v>194</v>
      </c>
      <c r="D4" s="236" t="s">
        <v>195</v>
      </c>
      <c r="E4" s="236" t="s">
        <v>196</v>
      </c>
      <c r="F4" s="236" t="s">
        <v>197</v>
      </c>
      <c r="G4" s="115" t="s">
        <v>198</v>
      </c>
      <c r="H4" s="115" t="s">
        <v>199</v>
      </c>
      <c r="I4" s="231"/>
      <c r="J4" s="231"/>
      <c r="K4" s="231"/>
      <c r="L4" s="231"/>
      <c r="M4" s="231"/>
      <c r="N4" s="231"/>
      <c r="O4" s="231"/>
      <c r="P4" s="231"/>
      <c r="Q4" s="231"/>
      <c r="R4" s="231"/>
    </row>
    <row r="5" ht="14.25" customHeight="1">
      <c r="A5" s="237"/>
      <c r="B5" s="238"/>
      <c r="C5" s="239"/>
      <c r="D5" s="239"/>
      <c r="E5" s="239"/>
      <c r="F5" s="239"/>
      <c r="G5" s="239"/>
      <c r="H5" s="239"/>
      <c r="I5" s="231"/>
      <c r="J5" s="231"/>
      <c r="K5" s="231"/>
      <c r="L5" s="231"/>
      <c r="M5" s="231"/>
      <c r="N5" s="231"/>
      <c r="O5" s="231"/>
      <c r="P5" s="231"/>
      <c r="Q5" s="231"/>
      <c r="R5" s="231"/>
    </row>
    <row r="6" ht="14.25" customHeight="1">
      <c r="A6" s="240" t="s">
        <v>428</v>
      </c>
      <c r="B6" s="241"/>
      <c r="C6" s="241"/>
      <c r="D6" s="241"/>
      <c r="E6" s="241"/>
      <c r="F6" s="241"/>
      <c r="G6" s="241"/>
      <c r="H6" s="241"/>
      <c r="I6" s="231"/>
      <c r="J6" s="231"/>
      <c r="K6" s="231"/>
      <c r="L6" s="231"/>
      <c r="M6" s="231"/>
      <c r="N6" s="231"/>
      <c r="O6" s="231"/>
      <c r="P6" s="231"/>
      <c r="Q6" s="231"/>
      <c r="R6" s="231"/>
    </row>
    <row r="7" ht="14.25" customHeight="1">
      <c r="A7" s="242" t="s">
        <v>429</v>
      </c>
      <c r="B7" s="243"/>
      <c r="C7" s="243"/>
      <c r="D7" s="243"/>
      <c r="E7" s="243"/>
      <c r="F7" s="243"/>
      <c r="G7" s="243"/>
      <c r="H7" s="243"/>
      <c r="I7" s="231"/>
      <c r="J7" s="231"/>
      <c r="K7" s="231"/>
      <c r="L7" s="231"/>
      <c r="M7" s="231"/>
      <c r="N7" s="231"/>
      <c r="O7" s="231"/>
      <c r="P7" s="231"/>
      <c r="Q7" s="231"/>
      <c r="R7" s="231"/>
    </row>
    <row r="8" ht="14.25" customHeight="1">
      <c r="A8" s="242" t="s">
        <v>430</v>
      </c>
      <c r="B8" s="244" t="str">
        <f>'8.Cash Flow '!C36</f>
        <v>3,276,629</v>
      </c>
      <c r="C8" s="244" t="str">
        <f>'8.Cash Flow '!D36</f>
        <v>6,608,330</v>
      </c>
      <c r="D8" s="244" t="str">
        <f>'8.Cash Flow '!E36</f>
        <v>10,503,654</v>
      </c>
      <c r="E8" s="244" t="str">
        <f>'8.Cash Flow '!F36</f>
        <v>15,235,777</v>
      </c>
      <c r="F8" s="244" t="str">
        <f>'8.Cash Flow '!G36</f>
        <v>20,889,617</v>
      </c>
      <c r="G8" s="244" t="str">
        <f>'8.Cash Flow '!H36</f>
        <v>30,217,227</v>
      </c>
      <c r="H8" s="244" t="str">
        <f>'8.Cash Flow '!I36</f>
        <v>40,609,828</v>
      </c>
      <c r="I8" s="231"/>
      <c r="J8" s="231"/>
      <c r="K8" s="245"/>
      <c r="L8" s="245"/>
      <c r="M8" s="245"/>
      <c r="N8" s="245"/>
      <c r="O8" s="245"/>
      <c r="P8" s="245"/>
      <c r="Q8" s="245"/>
      <c r="R8" s="245"/>
    </row>
    <row r="9" ht="14.25" customHeight="1">
      <c r="A9" s="246" t="s">
        <v>431</v>
      </c>
      <c r="B9" s="247" t="str">
        <f>'5.Closing Stock &amp; W Capital'!E42</f>
        <v>790,767</v>
      </c>
      <c r="C9" s="247" t="str">
        <f>'5.Closing Stock &amp; W Capital'!F42</f>
        <v>955,519</v>
      </c>
      <c r="D9" s="247" t="str">
        <f>'5.Closing Stock &amp; W Capital'!G42</f>
        <v>1,125,845</v>
      </c>
      <c r="E9" s="247" t="str">
        <f>'5.Closing Stock &amp; W Capital'!H42</f>
        <v>1,310,815</v>
      </c>
      <c r="F9" s="247" t="str">
        <f>'5.Closing Stock &amp; W Capital'!I42</f>
        <v>1,511,467</v>
      </c>
      <c r="G9" s="247" t="str">
        <f>'5.Closing Stock &amp; W Capital'!J42</f>
        <v>1,721,929</v>
      </c>
      <c r="H9" s="247" t="str">
        <f>'5.Closing Stock &amp; W Capital'!K42</f>
        <v>1,949,658</v>
      </c>
      <c r="I9" s="231"/>
      <c r="J9" s="231"/>
      <c r="K9" s="245"/>
      <c r="L9" s="245"/>
      <c r="M9" s="245"/>
      <c r="N9" s="245"/>
      <c r="O9" s="245"/>
      <c r="P9" s="245"/>
      <c r="Q9" s="245"/>
      <c r="R9" s="245"/>
    </row>
    <row r="10" ht="14.25" customHeight="1">
      <c r="A10" s="246" t="s">
        <v>432</v>
      </c>
      <c r="B10" s="247" t="str">
        <f>'5.Closing Stock &amp; W Capital'!E21</f>
        <v>247,233</v>
      </c>
      <c r="C10" s="247" t="str">
        <f>'5.Closing Stock &amp; W Capital'!F21</f>
        <v>302,860</v>
      </c>
      <c r="D10" s="247" t="str">
        <f>'5.Closing Stock &amp; W Capital'!G21</f>
        <v>363,432</v>
      </c>
      <c r="E10" s="247" t="str">
        <f>'5.Closing Stock &amp; W Capital'!H21</f>
        <v>429,304</v>
      </c>
      <c r="F10" s="247" t="str">
        <f>'5.Closing Stock &amp; W Capital'!I21</f>
        <v>500,855</v>
      </c>
      <c r="G10" s="247" t="str">
        <f>'5.Closing Stock &amp; W Capital'!J21</f>
        <v>578,488</v>
      </c>
      <c r="H10" s="247" t="str">
        <f>'5.Closing Stock &amp; W Capital'!K21</f>
        <v>662,631</v>
      </c>
      <c r="I10" s="231"/>
      <c r="J10" s="231"/>
      <c r="K10" s="245"/>
      <c r="L10" s="245"/>
      <c r="M10" s="245"/>
      <c r="N10" s="245"/>
      <c r="O10" s="245"/>
      <c r="P10" s="245"/>
      <c r="Q10" s="245"/>
      <c r="R10" s="245"/>
    </row>
    <row r="11" ht="14.25" customHeight="1">
      <c r="A11" s="242" t="s">
        <v>433</v>
      </c>
      <c r="B11" s="244" t="str">
        <f t="shared" ref="B11:H11" si="1">SUM(B8:B10)</f>
        <v>4,314,629</v>
      </c>
      <c r="C11" s="244" t="str">
        <f t="shared" si="1"/>
        <v>7,866,710</v>
      </c>
      <c r="D11" s="244" t="str">
        <f t="shared" si="1"/>
        <v>11,992,932</v>
      </c>
      <c r="E11" s="244" t="str">
        <f t="shared" si="1"/>
        <v>16,975,896</v>
      </c>
      <c r="F11" s="244" t="str">
        <f t="shared" si="1"/>
        <v>22,901,940</v>
      </c>
      <c r="G11" s="244" t="str">
        <f t="shared" si="1"/>
        <v>32,517,644</v>
      </c>
      <c r="H11" s="244" t="str">
        <f t="shared" si="1"/>
        <v>43,222,117</v>
      </c>
      <c r="I11" s="231"/>
      <c r="J11" s="231"/>
      <c r="K11" s="231"/>
      <c r="L11" s="231"/>
      <c r="M11" s="231"/>
      <c r="N11" s="231"/>
      <c r="O11" s="231"/>
      <c r="P11" s="231"/>
      <c r="Q11" s="231"/>
      <c r="R11" s="231"/>
    </row>
    <row r="12" ht="14.25" customHeight="1">
      <c r="A12" s="242"/>
      <c r="B12" s="247"/>
      <c r="C12" s="247"/>
      <c r="D12" s="247"/>
      <c r="E12" s="247"/>
      <c r="F12" s="247"/>
      <c r="G12" s="247"/>
      <c r="H12" s="247"/>
      <c r="I12" s="231"/>
      <c r="J12" s="245"/>
      <c r="K12" s="245"/>
      <c r="L12" s="245"/>
      <c r="M12" s="245"/>
      <c r="N12" s="245"/>
      <c r="O12" s="245"/>
      <c r="P12" s="245"/>
      <c r="Q12" s="245"/>
      <c r="R12" s="231"/>
    </row>
    <row r="13" ht="14.25" customHeight="1">
      <c r="A13" s="246" t="s">
        <v>434</v>
      </c>
      <c r="B13" s="247" t="str">
        <f>'3.Other Exp &amp; Taxes'!C65</f>
        <v>31,397,910</v>
      </c>
      <c r="C13" s="247" t="str">
        <f>'3.Other Exp &amp; Taxes'!D65</f>
        <v>30,194,174</v>
      </c>
      <c r="D13" s="247" t="str">
        <f>'3.Other Exp &amp; Taxes'!E65</f>
        <v>28,990,438</v>
      </c>
      <c r="E13" s="247" t="str">
        <f>'3.Other Exp &amp; Taxes'!F65</f>
        <v>27,786,702</v>
      </c>
      <c r="F13" s="247" t="str">
        <f>'3.Other Exp &amp; Taxes'!G65</f>
        <v>26,582,967</v>
      </c>
      <c r="G13" s="247" t="str">
        <f>'3.Other Exp &amp; Taxes'!H65</f>
        <v>25,379,231</v>
      </c>
      <c r="H13" s="247" t="str">
        <f>'3.Other Exp &amp; Taxes'!I65</f>
        <v>24,175,495</v>
      </c>
      <c r="I13" s="231"/>
      <c r="J13" s="231"/>
      <c r="K13" s="231"/>
      <c r="L13" s="231"/>
      <c r="M13" s="231"/>
      <c r="N13" s="231"/>
      <c r="O13" s="231"/>
      <c r="P13" s="231"/>
      <c r="Q13" s="231"/>
      <c r="R13" s="231"/>
    </row>
    <row r="14" ht="14.25" customHeight="1">
      <c r="A14" s="246" t="s">
        <v>435</v>
      </c>
      <c r="B14" s="247" t="str">
        <f>'3.Other Exp &amp; Taxes'!C66</f>
        <v>1,203,736</v>
      </c>
      <c r="C14" s="247" t="str">
        <f>'3.Other Exp &amp; Taxes'!D66</f>
        <v>1,203,736</v>
      </c>
      <c r="D14" s="247" t="str">
        <f>'3.Other Exp &amp; Taxes'!E66</f>
        <v>1,203,736</v>
      </c>
      <c r="E14" s="247" t="str">
        <f>'3.Other Exp &amp; Taxes'!F66</f>
        <v>1,203,736</v>
      </c>
      <c r="F14" s="247" t="str">
        <f>'3.Other Exp &amp; Taxes'!G66</f>
        <v>1,203,736</v>
      </c>
      <c r="G14" s="247" t="str">
        <f>'3.Other Exp &amp; Taxes'!H66</f>
        <v>1,203,736</v>
      </c>
      <c r="H14" s="247" t="str">
        <f>'3.Other Exp &amp; Taxes'!I66</f>
        <v>1,203,736</v>
      </c>
      <c r="I14" s="231"/>
      <c r="J14" s="231"/>
      <c r="K14" s="245"/>
      <c r="L14" s="245"/>
      <c r="M14" s="245"/>
      <c r="N14" s="245"/>
      <c r="O14" s="245"/>
      <c r="P14" s="245"/>
      <c r="Q14" s="245"/>
      <c r="R14" s="231"/>
    </row>
    <row r="15" ht="14.25" customHeight="1">
      <c r="A15" s="242" t="s">
        <v>222</v>
      </c>
      <c r="B15" s="244" t="str">
        <f t="shared" ref="B15:H15" si="2">B13-B14</f>
        <v>30,194,174</v>
      </c>
      <c r="C15" s="244" t="str">
        <f t="shared" si="2"/>
        <v>28,990,438</v>
      </c>
      <c r="D15" s="244" t="str">
        <f t="shared" si="2"/>
        <v>27,786,702</v>
      </c>
      <c r="E15" s="244" t="str">
        <f t="shared" si="2"/>
        <v>26,582,967</v>
      </c>
      <c r="F15" s="244" t="str">
        <f t="shared" si="2"/>
        <v>25,379,231</v>
      </c>
      <c r="G15" s="244" t="str">
        <f t="shared" si="2"/>
        <v>24,175,495</v>
      </c>
      <c r="H15" s="244" t="str">
        <f t="shared" si="2"/>
        <v>22,971,759</v>
      </c>
      <c r="I15" s="234"/>
      <c r="J15" s="234"/>
      <c r="K15" s="234"/>
      <c r="L15" s="234"/>
      <c r="M15" s="234"/>
      <c r="N15" s="234"/>
      <c r="O15" s="234"/>
      <c r="P15" s="234"/>
      <c r="Q15" s="234"/>
      <c r="R15" s="234"/>
    </row>
    <row r="16" ht="14.25" customHeight="1">
      <c r="A16" s="242"/>
      <c r="B16" s="244"/>
      <c r="C16" s="244"/>
      <c r="D16" s="244"/>
      <c r="E16" s="244"/>
      <c r="F16" s="244"/>
      <c r="G16" s="244"/>
      <c r="H16" s="244"/>
      <c r="I16" s="234"/>
      <c r="J16" s="234"/>
      <c r="K16" s="234"/>
      <c r="L16" s="234"/>
      <c r="M16" s="234"/>
      <c r="N16" s="234"/>
      <c r="O16" s="234"/>
      <c r="P16" s="234"/>
      <c r="Q16" s="234"/>
      <c r="R16" s="234"/>
    </row>
    <row r="17" ht="14.25" customHeight="1">
      <c r="A17" s="248"/>
      <c r="B17" s="244"/>
      <c r="C17" s="244"/>
      <c r="D17" s="244"/>
      <c r="E17" s="244"/>
      <c r="F17" s="244"/>
      <c r="G17" s="244"/>
      <c r="H17" s="244"/>
      <c r="I17" s="234"/>
      <c r="J17" s="234"/>
      <c r="K17" s="234"/>
      <c r="L17" s="234"/>
      <c r="M17" s="234"/>
      <c r="N17" s="234"/>
      <c r="O17" s="234"/>
      <c r="P17" s="234"/>
      <c r="Q17" s="234"/>
      <c r="R17" s="234"/>
    </row>
    <row r="18" ht="14.25" customHeight="1">
      <c r="A18" s="242" t="s">
        <v>436</v>
      </c>
      <c r="B18" s="244" t="str">
        <f>'8.Cash Flow '!C21-'6.Cons Profit &amp; Loss'!B43</f>
        <v>598,916</v>
      </c>
      <c r="C18" s="244" t="str">
        <f>B18-'6.Cons Profit &amp; Loss'!C43</f>
        <v>449,187</v>
      </c>
      <c r="D18" s="244" t="str">
        <f>C18-'6.Cons Profit &amp; Loss'!D43</f>
        <v>299,458</v>
      </c>
      <c r="E18" s="244" t="str">
        <f>D18-'6.Cons Profit &amp; Loss'!E43</f>
        <v>149,729</v>
      </c>
      <c r="F18" s="244" t="str">
        <f>E18-'6.Cons Profit &amp; Loss'!F43</f>
        <v>0</v>
      </c>
      <c r="G18" s="244" t="str">
        <f>F18-'6.Cons Profit &amp; Loss'!G43</f>
        <v>0</v>
      </c>
      <c r="H18" s="244" t="str">
        <f>G18-'6.Cons Profit &amp; Loss'!H43</f>
        <v>0</v>
      </c>
      <c r="I18" s="234"/>
      <c r="J18" s="234"/>
      <c r="K18" s="234"/>
      <c r="L18" s="234"/>
      <c r="M18" s="234"/>
      <c r="N18" s="234"/>
      <c r="O18" s="234"/>
      <c r="P18" s="234"/>
      <c r="Q18" s="234"/>
      <c r="R18" s="234"/>
    </row>
    <row r="19" ht="14.25" customHeight="1">
      <c r="A19" s="246"/>
      <c r="B19" s="247"/>
      <c r="C19" s="247"/>
      <c r="D19" s="247"/>
      <c r="E19" s="247"/>
      <c r="F19" s="247"/>
      <c r="G19" s="247"/>
      <c r="H19" s="247"/>
      <c r="I19" s="231"/>
      <c r="J19" s="231"/>
      <c r="K19" s="231"/>
      <c r="L19" s="231"/>
      <c r="M19" s="231"/>
      <c r="N19" s="231"/>
      <c r="O19" s="231"/>
      <c r="P19" s="231"/>
      <c r="Q19" s="231"/>
      <c r="R19" s="231"/>
    </row>
    <row r="20" ht="14.25" customHeight="1">
      <c r="A20" s="248" t="s">
        <v>437</v>
      </c>
      <c r="B20" s="244" t="str">
        <f t="shared" ref="B20:H20" si="3">B11+B15+B17+B18</f>
        <v>35,107,720</v>
      </c>
      <c r="C20" s="244" t="str">
        <f t="shared" si="3"/>
        <v>37,306,335</v>
      </c>
      <c r="D20" s="244" t="str">
        <f t="shared" si="3"/>
        <v>40,079,092</v>
      </c>
      <c r="E20" s="244" t="str">
        <f t="shared" si="3"/>
        <v>43,708,592</v>
      </c>
      <c r="F20" s="244" t="str">
        <f t="shared" si="3"/>
        <v>48,281,171</v>
      </c>
      <c r="G20" s="244" t="str">
        <f t="shared" si="3"/>
        <v>56,693,139</v>
      </c>
      <c r="H20" s="244" t="str">
        <f t="shared" si="3"/>
        <v>66,193,877</v>
      </c>
      <c r="I20" s="231"/>
      <c r="J20" s="231"/>
      <c r="K20" s="231"/>
      <c r="L20" s="231"/>
      <c r="M20" s="231"/>
      <c r="N20" s="231"/>
      <c r="O20" s="231"/>
      <c r="P20" s="231"/>
      <c r="Q20" s="231"/>
      <c r="R20" s="231"/>
    </row>
    <row r="21" ht="14.25" customHeight="1">
      <c r="A21" s="237"/>
      <c r="B21" s="247"/>
      <c r="C21" s="247"/>
      <c r="D21" s="247"/>
      <c r="E21" s="247"/>
      <c r="F21" s="247"/>
      <c r="G21" s="247"/>
      <c r="H21" s="247"/>
      <c r="I21" s="231"/>
      <c r="J21" s="231"/>
      <c r="K21" s="231"/>
      <c r="L21" s="231"/>
      <c r="M21" s="231"/>
      <c r="N21" s="231"/>
      <c r="O21" s="231"/>
      <c r="P21" s="231"/>
      <c r="Q21" s="231"/>
      <c r="R21" s="231"/>
    </row>
    <row r="22" ht="14.25" customHeight="1">
      <c r="A22" s="240" t="s">
        <v>438</v>
      </c>
      <c r="B22" s="249"/>
      <c r="C22" s="249"/>
      <c r="D22" s="249"/>
      <c r="E22" s="249"/>
      <c r="F22" s="249"/>
      <c r="G22" s="249"/>
      <c r="H22" s="249"/>
      <c r="I22" s="231"/>
      <c r="J22" s="231"/>
      <c r="K22" s="231"/>
      <c r="L22" s="231"/>
      <c r="M22" s="231"/>
      <c r="N22" s="231"/>
      <c r="O22" s="231"/>
      <c r="P22" s="231"/>
      <c r="Q22" s="231"/>
      <c r="R22" s="231"/>
    </row>
    <row r="23" ht="14.25" customHeight="1">
      <c r="A23" s="242" t="s">
        <v>439</v>
      </c>
      <c r="B23" s="249"/>
      <c r="C23" s="249"/>
      <c r="D23" s="249"/>
      <c r="E23" s="249"/>
      <c r="F23" s="249"/>
      <c r="G23" s="249"/>
      <c r="H23" s="249"/>
      <c r="I23" s="231"/>
      <c r="J23" s="231"/>
      <c r="K23" s="231"/>
      <c r="L23" s="231"/>
      <c r="M23" s="231"/>
      <c r="N23" s="231"/>
      <c r="O23" s="231"/>
      <c r="P23" s="231"/>
      <c r="Q23" s="231"/>
      <c r="R23" s="231"/>
    </row>
    <row r="24" ht="14.25" customHeight="1">
      <c r="A24" s="246" t="s">
        <v>440</v>
      </c>
      <c r="B24" s="244" t="str">
        <f>'5.Closing Stock &amp; W Capital'!E56-'5.Closing Stock &amp; W Capital'!E57</f>
        <v>574,673</v>
      </c>
      <c r="C24" s="244" t="str">
        <f>'5.Closing Stock &amp; W Capital'!F56-'5.Closing Stock &amp; W Capital'!F57</f>
        <v>931,295</v>
      </c>
      <c r="D24" s="244" t="str">
        <f>'5.Closing Stock &amp; W Capital'!G56-'5.Closing Stock &amp; W Capital'!G57</f>
        <v>1,102,026</v>
      </c>
      <c r="E24" s="244" t="str">
        <f>'5.Closing Stock &amp; W Capital'!H56-'5.Closing Stock &amp; W Capital'!H57</f>
        <v>1,287,501</v>
      </c>
      <c r="F24" s="244" t="str">
        <f>'5.Closing Stock &amp; W Capital'!I56-'5.Closing Stock &amp; W Capital'!I57</f>
        <v>1,488,769</v>
      </c>
      <c r="G24" s="244" t="str">
        <f>'5.Closing Stock &amp; W Capital'!J56-'5.Closing Stock &amp; W Capital'!J57</f>
        <v>1,700,257</v>
      </c>
      <c r="H24" s="244" t="str">
        <f>'5.Closing Stock &amp; W Capital'!K56-'5.Closing Stock &amp; W Capital'!K57</f>
        <v>1,929,172</v>
      </c>
      <c r="I24" s="231"/>
      <c r="J24" s="231"/>
      <c r="K24" s="231"/>
      <c r="L24" s="231"/>
      <c r="M24" s="231"/>
      <c r="N24" s="231"/>
      <c r="O24" s="231"/>
      <c r="P24" s="231"/>
      <c r="Q24" s="231"/>
      <c r="R24" s="231"/>
    </row>
    <row r="25" ht="14.25" customHeight="1">
      <c r="A25" s="246" t="s">
        <v>441</v>
      </c>
      <c r="B25" s="247" t="str">
        <f>'5.Closing Stock &amp; W Capital'!E55</f>
        <v>271,769</v>
      </c>
      <c r="C25" s="247" t="str">
        <f>'5.Closing Stock &amp; W Capital'!F55</f>
        <v>327,084</v>
      </c>
      <c r="D25" s="247" t="str">
        <f>'5.Closing Stock &amp; W Capital'!G55</f>
        <v>387,252</v>
      </c>
      <c r="E25" s="247" t="str">
        <f>'5.Closing Stock &amp; W Capital'!H55</f>
        <v>452,618</v>
      </c>
      <c r="F25" s="247" t="str">
        <f>'5.Closing Stock &amp; W Capital'!I55</f>
        <v>523,553</v>
      </c>
      <c r="G25" s="247" t="str">
        <f>'5.Closing Stock &amp; W Capital'!J55</f>
        <v>600,160</v>
      </c>
      <c r="H25" s="247" t="str">
        <f>'5.Closing Stock &amp; W Capital'!K55</f>
        <v>683,118</v>
      </c>
      <c r="I25" s="231"/>
      <c r="J25" s="231"/>
      <c r="K25" s="231"/>
      <c r="L25" s="231"/>
      <c r="M25" s="231"/>
      <c r="N25" s="231"/>
      <c r="O25" s="231"/>
      <c r="P25" s="231"/>
      <c r="Q25" s="231"/>
      <c r="R25" s="231"/>
    </row>
    <row r="26" ht="14.25" customHeight="1">
      <c r="A26" s="246" t="s">
        <v>442</v>
      </c>
      <c r="B26" s="244"/>
      <c r="C26" s="244"/>
      <c r="D26" s="244"/>
      <c r="E26" s="244"/>
      <c r="F26" s="244"/>
      <c r="G26" s="244"/>
      <c r="H26" s="244"/>
      <c r="I26" s="231"/>
      <c r="J26" s="231"/>
      <c r="K26" s="231"/>
      <c r="L26" s="231"/>
      <c r="M26" s="231"/>
      <c r="N26" s="231"/>
      <c r="O26" s="231"/>
      <c r="P26" s="231"/>
      <c r="Q26" s="231"/>
      <c r="R26" s="231"/>
    </row>
    <row r="27" ht="14.25" customHeight="1">
      <c r="A27" s="242" t="s">
        <v>443</v>
      </c>
      <c r="B27" s="244" t="str">
        <f t="shared" ref="B27:H27" si="4">SUM(B24:B26)</f>
        <v>846,442</v>
      </c>
      <c r="C27" s="244" t="str">
        <f t="shared" si="4"/>
        <v>1,258,379</v>
      </c>
      <c r="D27" s="244" t="str">
        <f t="shared" si="4"/>
        <v>1,489,277</v>
      </c>
      <c r="E27" s="244" t="str">
        <f t="shared" si="4"/>
        <v>1,740,119</v>
      </c>
      <c r="F27" s="244" t="str">
        <f t="shared" si="4"/>
        <v>2,012,323</v>
      </c>
      <c r="G27" s="244" t="str">
        <f t="shared" si="4"/>
        <v>2,300,417</v>
      </c>
      <c r="H27" s="244" t="str">
        <f t="shared" si="4"/>
        <v>2,612,290</v>
      </c>
      <c r="I27" s="231"/>
      <c r="J27" s="231"/>
      <c r="K27" s="231"/>
      <c r="L27" s="231"/>
      <c r="M27" s="231"/>
      <c r="N27" s="231"/>
      <c r="O27" s="231"/>
      <c r="P27" s="231"/>
      <c r="Q27" s="231"/>
      <c r="R27" s="231"/>
    </row>
    <row r="28" ht="14.25" customHeight="1">
      <c r="A28" s="242" t="s">
        <v>444</v>
      </c>
      <c r="B28" s="244" t="str">
        <f>'4.TL repayment sch'!G21</f>
        <v>8,809,992</v>
      </c>
      <c r="C28" s="244" t="str">
        <f>'4.TL repayment sch'!G33</f>
        <v>6,984,968</v>
      </c>
      <c r="D28" s="244" t="str">
        <f>'4.TL repayment sch'!G45</f>
        <v>4,928,485</v>
      </c>
      <c r="E28" s="244" t="str">
        <f>'4.TL repayment sch'!G57</f>
        <v>2,611,188</v>
      </c>
      <c r="F28" s="244" t="str">
        <f>'4.TL repayment sch'!G69</f>
        <v>0</v>
      </c>
      <c r="G28" s="244" t="str">
        <f>'4.TL repayment sch'!G81</f>
        <v/>
      </c>
      <c r="H28" s="244" t="str">
        <f>'[5]Term Loan'!J72+'[5]Term Loan'!S72</f>
        <v>#REF!</v>
      </c>
      <c r="I28" s="231"/>
      <c r="J28" s="231"/>
      <c r="K28" s="231"/>
      <c r="L28" s="231"/>
      <c r="M28" s="231"/>
      <c r="N28" s="231"/>
      <c r="O28" s="231"/>
      <c r="P28" s="231"/>
      <c r="Q28" s="231"/>
      <c r="R28" s="231"/>
    </row>
    <row r="29" ht="14.25" customHeight="1">
      <c r="A29" s="242" t="s">
        <v>445</v>
      </c>
      <c r="B29" s="244"/>
      <c r="C29" s="244"/>
      <c r="D29" s="244"/>
      <c r="E29" s="244"/>
      <c r="F29" s="244"/>
      <c r="G29" s="244"/>
      <c r="H29" s="244"/>
      <c r="I29" s="231"/>
      <c r="J29" s="231"/>
      <c r="K29" s="231"/>
      <c r="L29" s="231"/>
      <c r="M29" s="231"/>
      <c r="N29" s="231"/>
      <c r="O29" s="231"/>
      <c r="P29" s="231"/>
      <c r="Q29" s="231"/>
      <c r="R29" s="231"/>
    </row>
    <row r="30" ht="14.25" customHeight="1">
      <c r="A30" s="242"/>
      <c r="B30" s="250"/>
      <c r="C30" s="250"/>
      <c r="D30" s="250"/>
      <c r="E30" s="250"/>
      <c r="F30" s="250"/>
      <c r="G30" s="250"/>
      <c r="H30" s="250"/>
      <c r="I30" s="231"/>
      <c r="J30" s="231"/>
      <c r="K30" s="231"/>
      <c r="L30" s="231"/>
      <c r="M30" s="231"/>
      <c r="N30" s="231"/>
      <c r="O30" s="231"/>
      <c r="P30" s="231"/>
      <c r="Q30" s="231"/>
      <c r="R30" s="231"/>
    </row>
    <row r="31" ht="14.25" customHeight="1">
      <c r="A31" s="248" t="s">
        <v>446</v>
      </c>
      <c r="B31" s="244" t="str">
        <f t="shared" ref="B31:H31" si="5">SUM(B27:B29)</f>
        <v>9,656,434</v>
      </c>
      <c r="C31" s="244" t="str">
        <f t="shared" si="5"/>
        <v>8,243,347</v>
      </c>
      <c r="D31" s="244" t="str">
        <f t="shared" si="5"/>
        <v>6,417,762</v>
      </c>
      <c r="E31" s="244" t="str">
        <f t="shared" si="5"/>
        <v>4,351,307</v>
      </c>
      <c r="F31" s="244" t="str">
        <f t="shared" si="5"/>
        <v>2,012,323</v>
      </c>
      <c r="G31" s="244" t="str">
        <f t="shared" si="5"/>
        <v>2,300,417</v>
      </c>
      <c r="H31" s="244" t="str">
        <f t="shared" si="5"/>
        <v>#REF!</v>
      </c>
      <c r="I31" s="231"/>
      <c r="J31" s="231"/>
      <c r="K31" s="231"/>
      <c r="L31" s="231"/>
      <c r="M31" s="231"/>
      <c r="N31" s="231"/>
      <c r="O31" s="231"/>
      <c r="P31" s="231"/>
      <c r="Q31" s="231"/>
      <c r="R31" s="231"/>
    </row>
    <row r="32" ht="14.25" customHeight="1">
      <c r="A32" s="237"/>
      <c r="B32" s="247"/>
      <c r="C32" s="247"/>
      <c r="D32" s="247"/>
      <c r="E32" s="247"/>
      <c r="F32" s="247"/>
      <c r="G32" s="247"/>
      <c r="H32" s="247"/>
      <c r="I32" s="231"/>
      <c r="J32" s="231"/>
      <c r="K32" s="231"/>
      <c r="L32" s="231"/>
      <c r="M32" s="231"/>
      <c r="N32" s="231"/>
      <c r="O32" s="231"/>
      <c r="P32" s="231"/>
      <c r="Q32" s="231"/>
      <c r="R32" s="231"/>
    </row>
    <row r="33" ht="14.25" customHeight="1">
      <c r="A33" s="246" t="s">
        <v>447</v>
      </c>
      <c r="B33" s="247" t="str">
        <f>'1.Project Cost and MOF'!E21</f>
        <v>3,406,213</v>
      </c>
      <c r="C33" s="247" t="str">
        <f t="shared" ref="C33:H33" si="6">B33</f>
        <v>3,406,213</v>
      </c>
      <c r="D33" s="247" t="str">
        <f t="shared" si="6"/>
        <v>3,406,213</v>
      </c>
      <c r="E33" s="247" t="str">
        <f t="shared" si="6"/>
        <v>3,406,213</v>
      </c>
      <c r="F33" s="247" t="str">
        <f t="shared" si="6"/>
        <v>3,406,213</v>
      </c>
      <c r="G33" s="247" t="str">
        <f t="shared" si="6"/>
        <v>3,406,213</v>
      </c>
      <c r="H33" s="247" t="str">
        <f t="shared" si="6"/>
        <v>3,406,213</v>
      </c>
      <c r="I33" s="231"/>
      <c r="J33" s="231"/>
      <c r="K33" s="231"/>
      <c r="L33" s="231"/>
      <c r="M33" s="231"/>
      <c r="N33" s="231"/>
      <c r="O33" s="231"/>
      <c r="P33" s="231"/>
      <c r="Q33" s="231"/>
      <c r="R33" s="231"/>
    </row>
    <row r="34" ht="14.25" customHeight="1">
      <c r="A34" s="246" t="s">
        <v>448</v>
      </c>
      <c r="B34" s="247" t="str">
        <f>'1.Project Cost and MOF'!E19</f>
        <v>19,287,933</v>
      </c>
      <c r="C34" s="247" t="str">
        <f t="shared" ref="C34:H34" si="7">B34</f>
        <v>19,287,933</v>
      </c>
      <c r="D34" s="247" t="str">
        <f t="shared" si="7"/>
        <v>19,287,933</v>
      </c>
      <c r="E34" s="247" t="str">
        <f t="shared" si="7"/>
        <v>19,287,933</v>
      </c>
      <c r="F34" s="247" t="str">
        <f t="shared" si="7"/>
        <v>19,287,933</v>
      </c>
      <c r="G34" s="247" t="str">
        <f t="shared" si="7"/>
        <v>19,287,933</v>
      </c>
      <c r="H34" s="247" t="str">
        <f t="shared" si="7"/>
        <v>19,287,933</v>
      </c>
      <c r="I34" s="231"/>
      <c r="J34" s="231"/>
      <c r="K34" s="231"/>
      <c r="L34" s="231"/>
      <c r="M34" s="231"/>
      <c r="N34" s="231"/>
      <c r="O34" s="231"/>
      <c r="P34" s="231"/>
      <c r="Q34" s="231"/>
      <c r="R34" s="231"/>
    </row>
    <row r="35" ht="14.25" customHeight="1">
      <c r="A35" s="242" t="s">
        <v>449</v>
      </c>
      <c r="B35" s="247"/>
      <c r="C35" s="247"/>
      <c r="D35" s="247"/>
      <c r="E35" s="247"/>
      <c r="F35" s="247"/>
      <c r="G35" s="247"/>
      <c r="H35" s="247"/>
      <c r="I35" s="231"/>
      <c r="J35" s="231"/>
      <c r="K35" s="231"/>
      <c r="L35" s="231"/>
      <c r="M35" s="231"/>
      <c r="N35" s="231"/>
      <c r="O35" s="231"/>
      <c r="P35" s="231"/>
      <c r="Q35" s="231"/>
      <c r="R35" s="231"/>
    </row>
    <row r="36" ht="14.25" customHeight="1">
      <c r="A36" s="246" t="s">
        <v>450</v>
      </c>
      <c r="B36" s="247">
        <v>0.0</v>
      </c>
      <c r="C36" s="247" t="str">
        <f t="shared" ref="C36:H36" si="8">B39</f>
        <v>2,757,139</v>
      </c>
      <c r="D36" s="247" t="str">
        <f t="shared" si="8"/>
        <v>6,368,842</v>
      </c>
      <c r="E36" s="247" t="str">
        <f t="shared" si="8"/>
        <v>10,967,184</v>
      </c>
      <c r="F36" s="247" t="str">
        <f t="shared" si="8"/>
        <v>16,663,138</v>
      </c>
      <c r="G36" s="247" t="str">
        <f t="shared" si="8"/>
        <v>23,574,702</v>
      </c>
      <c r="H36" s="247" t="str">
        <f t="shared" si="8"/>
        <v>31,698,576</v>
      </c>
      <c r="I36" s="231"/>
      <c r="J36" s="231"/>
      <c r="K36" s="231"/>
      <c r="L36" s="231"/>
      <c r="M36" s="231"/>
      <c r="N36" s="231"/>
      <c r="O36" s="231"/>
      <c r="P36" s="231"/>
      <c r="Q36" s="231"/>
      <c r="R36" s="231"/>
    </row>
    <row r="37" ht="14.25" customHeight="1">
      <c r="A37" s="246" t="s">
        <v>451</v>
      </c>
      <c r="B37" s="247" t="str">
        <f>'6.Cons Profit &amp; Loss'!B53</f>
        <v>2,757,139</v>
      </c>
      <c r="C37" s="247" t="str">
        <f>'6.Cons Profit &amp; Loss'!C51</f>
        <v>3,611,703</v>
      </c>
      <c r="D37" s="247" t="str">
        <f>'6.Cons Profit &amp; Loss'!D51</f>
        <v>4,598,342</v>
      </c>
      <c r="E37" s="247" t="str">
        <f>'6.Cons Profit &amp; Loss'!E51</f>
        <v>5,695,954</v>
      </c>
      <c r="F37" s="247" t="str">
        <f>'6.Cons Profit &amp; Loss'!F51</f>
        <v>6,911,563</v>
      </c>
      <c r="G37" s="247" t="str">
        <f>'6.Cons Profit &amp; Loss'!G51</f>
        <v>8,123,874</v>
      </c>
      <c r="H37" s="247" t="str">
        <f>'6.Cons Profit &amp; Loss'!H51</f>
        <v>9,188,865</v>
      </c>
      <c r="I37" s="231"/>
      <c r="J37" s="231"/>
      <c r="K37" s="231"/>
      <c r="L37" s="231"/>
      <c r="M37" s="231"/>
      <c r="N37" s="231"/>
      <c r="O37" s="231"/>
      <c r="P37" s="231"/>
      <c r="Q37" s="231"/>
      <c r="R37" s="231"/>
    </row>
    <row r="38" ht="14.25" customHeight="1">
      <c r="A38" s="246" t="s">
        <v>452</v>
      </c>
      <c r="B38" s="247"/>
      <c r="C38" s="247"/>
      <c r="D38" s="247"/>
      <c r="E38" s="247"/>
      <c r="F38" s="247"/>
      <c r="G38" s="247"/>
      <c r="H38" s="247"/>
      <c r="I38" s="231"/>
      <c r="J38" s="231"/>
      <c r="K38" s="231"/>
      <c r="L38" s="231"/>
      <c r="M38" s="231"/>
      <c r="N38" s="231"/>
      <c r="O38" s="231"/>
      <c r="P38" s="231"/>
      <c r="Q38" s="231"/>
      <c r="R38" s="231"/>
    </row>
    <row r="39" ht="14.25" customHeight="1">
      <c r="A39" s="246" t="s">
        <v>453</v>
      </c>
      <c r="B39" s="247" t="str">
        <f t="shared" ref="B39:H39" si="9">B36+B37-B38</f>
        <v>2,757,139</v>
      </c>
      <c r="C39" s="247" t="str">
        <f t="shared" si="9"/>
        <v>6,368,842</v>
      </c>
      <c r="D39" s="247" t="str">
        <f t="shared" si="9"/>
        <v>10,967,184</v>
      </c>
      <c r="E39" s="247" t="str">
        <f t="shared" si="9"/>
        <v>16,663,138</v>
      </c>
      <c r="F39" s="247" t="str">
        <f t="shared" si="9"/>
        <v>23,574,702</v>
      </c>
      <c r="G39" s="247" t="str">
        <f t="shared" si="9"/>
        <v>31,698,576</v>
      </c>
      <c r="H39" s="247" t="str">
        <f t="shared" si="9"/>
        <v>40,887,441</v>
      </c>
      <c r="I39" s="231"/>
      <c r="J39" s="231"/>
      <c r="K39" s="231"/>
      <c r="L39" s="231"/>
      <c r="M39" s="231"/>
      <c r="N39" s="231"/>
      <c r="O39" s="231"/>
      <c r="P39" s="231"/>
      <c r="Q39" s="231"/>
      <c r="R39" s="231"/>
    </row>
    <row r="40" ht="14.25" customHeight="1">
      <c r="A40" s="246"/>
      <c r="B40" s="249"/>
      <c r="C40" s="249"/>
      <c r="D40" s="249"/>
      <c r="E40" s="249"/>
      <c r="F40" s="249"/>
      <c r="G40" s="249"/>
      <c r="H40" s="249"/>
      <c r="I40" s="231"/>
      <c r="J40" s="231"/>
      <c r="K40" s="231"/>
      <c r="L40" s="231"/>
      <c r="M40" s="231"/>
      <c r="N40" s="231"/>
      <c r="O40" s="231"/>
      <c r="P40" s="231"/>
      <c r="Q40" s="231"/>
      <c r="R40" s="231"/>
    </row>
    <row r="41" ht="14.25" customHeight="1">
      <c r="A41" s="251" t="s">
        <v>454</v>
      </c>
      <c r="B41" s="252" t="str">
        <f t="shared" ref="B41:H41" si="10">B33+B39+B34</f>
        <v>25,451,285</v>
      </c>
      <c r="C41" s="252" t="str">
        <f t="shared" si="10"/>
        <v>29,062,988</v>
      </c>
      <c r="D41" s="252" t="str">
        <f t="shared" si="10"/>
        <v>33,661,330</v>
      </c>
      <c r="E41" s="252" t="str">
        <f t="shared" si="10"/>
        <v>39,357,285</v>
      </c>
      <c r="F41" s="252" t="str">
        <f t="shared" si="10"/>
        <v>46,268,848</v>
      </c>
      <c r="G41" s="252" t="str">
        <f t="shared" si="10"/>
        <v>54,392,722</v>
      </c>
      <c r="H41" s="252" t="str">
        <f t="shared" si="10"/>
        <v>63,581,587</v>
      </c>
      <c r="I41" s="231"/>
      <c r="J41" s="231"/>
      <c r="K41" s="231"/>
      <c r="L41" s="231"/>
      <c r="M41" s="231"/>
      <c r="N41" s="231"/>
      <c r="O41" s="231"/>
      <c r="P41" s="231"/>
      <c r="Q41" s="231"/>
      <c r="R41" s="231"/>
    </row>
    <row r="42" ht="14.25" customHeight="1">
      <c r="A42" s="237"/>
      <c r="B42" s="247"/>
      <c r="C42" s="247"/>
      <c r="D42" s="247"/>
      <c r="E42" s="247"/>
      <c r="F42" s="247"/>
      <c r="G42" s="247"/>
      <c r="H42" s="247"/>
      <c r="I42" s="231"/>
      <c r="J42" s="231"/>
      <c r="K42" s="231"/>
      <c r="L42" s="231"/>
      <c r="M42" s="231"/>
      <c r="N42" s="231"/>
      <c r="O42" s="231"/>
      <c r="P42" s="231"/>
      <c r="Q42" s="231"/>
      <c r="R42" s="231"/>
    </row>
    <row r="43" ht="14.25" customHeight="1">
      <c r="A43" s="248" t="s">
        <v>455</v>
      </c>
      <c r="B43" s="244" t="str">
        <f t="shared" ref="B43:H43" si="11">B31+B41</f>
        <v>35,107,720</v>
      </c>
      <c r="C43" s="244" t="str">
        <f t="shared" si="11"/>
        <v>37,306,335</v>
      </c>
      <c r="D43" s="244" t="str">
        <f t="shared" si="11"/>
        <v>40,079,092</v>
      </c>
      <c r="E43" s="244" t="str">
        <f t="shared" si="11"/>
        <v>43,708,592</v>
      </c>
      <c r="F43" s="244" t="str">
        <f t="shared" si="11"/>
        <v>48,281,171</v>
      </c>
      <c r="G43" s="244" t="str">
        <f t="shared" si="11"/>
        <v>56,693,139</v>
      </c>
      <c r="H43" s="244" t="str">
        <f t="shared" si="11"/>
        <v>#REF!</v>
      </c>
      <c r="I43" s="231"/>
      <c r="J43" s="231"/>
      <c r="K43" s="231"/>
      <c r="L43" s="231"/>
      <c r="M43" s="231"/>
      <c r="N43" s="231"/>
      <c r="O43" s="231"/>
      <c r="P43" s="231"/>
      <c r="Q43" s="231"/>
      <c r="R43" s="231"/>
    </row>
    <row r="44" ht="14.25" customHeight="1">
      <c r="A44" s="237"/>
      <c r="B44" s="241"/>
      <c r="C44" s="241"/>
      <c r="D44" s="241"/>
      <c r="E44" s="241"/>
      <c r="F44" s="241"/>
      <c r="G44" s="241"/>
      <c r="H44" s="241"/>
      <c r="I44" s="231"/>
      <c r="J44" s="231"/>
      <c r="K44" s="231"/>
      <c r="L44" s="231"/>
      <c r="M44" s="231"/>
      <c r="N44" s="231"/>
      <c r="O44" s="231"/>
      <c r="P44" s="231"/>
      <c r="Q44" s="231"/>
      <c r="R44" s="231"/>
    </row>
    <row r="45" ht="14.25" customHeight="1">
      <c r="A45" s="253" t="s">
        <v>456</v>
      </c>
      <c r="B45" s="254"/>
      <c r="C45" s="254"/>
      <c r="D45" s="254"/>
      <c r="E45" s="254"/>
      <c r="F45" s="254"/>
      <c r="G45" s="254"/>
      <c r="H45" s="254"/>
      <c r="I45" s="231"/>
      <c r="J45" s="231"/>
      <c r="K45" s="231"/>
      <c r="L45" s="231"/>
      <c r="M45" s="231"/>
      <c r="N45" s="231"/>
      <c r="O45" s="231"/>
      <c r="P45" s="231"/>
      <c r="Q45" s="231"/>
      <c r="R45" s="231"/>
    </row>
    <row r="46" ht="14.25" customHeight="1">
      <c r="A46" s="255" t="s">
        <v>457</v>
      </c>
      <c r="B46" s="256" t="str">
        <f t="shared" ref="B46:H46" si="12">B43-B20</f>
        <v>0.00</v>
      </c>
      <c r="C46" s="256" t="str">
        <f t="shared" si="12"/>
        <v>0.00</v>
      </c>
      <c r="D46" s="256" t="str">
        <f t="shared" si="12"/>
        <v>0.00</v>
      </c>
      <c r="E46" s="256" t="str">
        <f t="shared" si="12"/>
        <v>0.00</v>
      </c>
      <c r="F46" s="256" t="str">
        <f t="shared" si="12"/>
        <v>0.00</v>
      </c>
      <c r="G46" s="256" t="str">
        <f t="shared" si="12"/>
        <v>0.00</v>
      </c>
      <c r="H46" s="256" t="str">
        <f t="shared" si="12"/>
        <v>#REF!</v>
      </c>
      <c r="I46" s="231"/>
      <c r="J46" s="231"/>
      <c r="K46" s="231"/>
      <c r="L46" s="231"/>
      <c r="M46" s="231"/>
      <c r="N46" s="231"/>
      <c r="O46" s="231"/>
      <c r="P46" s="231"/>
      <c r="Q46" s="231"/>
      <c r="R46" s="231"/>
    </row>
    <row r="47" ht="14.25" customHeight="1">
      <c r="A47" s="255"/>
      <c r="B47" s="256"/>
      <c r="C47" s="256"/>
      <c r="D47" s="256"/>
      <c r="E47" s="256"/>
      <c r="F47" s="256"/>
      <c r="G47" s="256"/>
      <c r="H47" s="256"/>
      <c r="I47" s="231"/>
      <c r="J47" s="231"/>
      <c r="K47" s="231"/>
      <c r="L47" s="231"/>
      <c r="M47" s="231"/>
      <c r="N47" s="231"/>
      <c r="O47" s="231"/>
      <c r="P47" s="231"/>
      <c r="Q47" s="231"/>
      <c r="R47" s="231"/>
    </row>
    <row r="48" ht="14.25" customHeight="1">
      <c r="A48" s="257"/>
      <c r="B48" s="258"/>
      <c r="C48" s="258"/>
      <c r="D48" s="258"/>
      <c r="E48" s="258"/>
      <c r="F48" s="258"/>
      <c r="G48" s="258"/>
      <c r="H48" s="258"/>
      <c r="I48" s="231"/>
      <c r="J48" s="231"/>
      <c r="K48" s="231"/>
      <c r="L48" s="231"/>
      <c r="M48" s="231"/>
      <c r="N48" s="231"/>
      <c r="O48" s="231"/>
      <c r="P48" s="231"/>
      <c r="Q48" s="231"/>
      <c r="R48" s="231"/>
    </row>
    <row r="49" ht="14.25" customHeight="1">
      <c r="A49" s="231"/>
      <c r="B49" s="259"/>
      <c r="C49" s="259"/>
      <c r="D49" s="259"/>
      <c r="E49" s="259"/>
      <c r="F49" s="259"/>
      <c r="G49" s="259"/>
      <c r="H49" s="259"/>
      <c r="I49" s="231"/>
      <c r="J49" s="231"/>
      <c r="K49" s="231"/>
      <c r="L49" s="231"/>
      <c r="M49" s="231"/>
      <c r="N49" s="231"/>
      <c r="O49" s="231"/>
      <c r="P49" s="231"/>
      <c r="Q49" s="231"/>
      <c r="R49" s="231"/>
    </row>
    <row r="50" ht="39.0" customHeight="1">
      <c r="A50" s="260" t="s">
        <v>458</v>
      </c>
      <c r="J50" s="231"/>
      <c r="K50" s="231"/>
      <c r="L50" s="231"/>
      <c r="M50" s="231"/>
      <c r="N50" s="231"/>
      <c r="O50" s="231"/>
      <c r="P50" s="231"/>
      <c r="Q50" s="231"/>
      <c r="R50" s="231"/>
    </row>
    <row r="51" ht="14.25" customHeight="1">
      <c r="A51" s="231"/>
      <c r="B51" s="231"/>
      <c r="C51" s="231"/>
      <c r="D51" s="231"/>
      <c r="E51" s="231"/>
      <c r="F51" s="231"/>
      <c r="G51" s="231"/>
      <c r="H51" s="231"/>
      <c r="I51" s="231"/>
      <c r="J51" s="231"/>
      <c r="K51" s="231"/>
      <c r="L51" s="231"/>
      <c r="M51" s="231"/>
      <c r="N51" s="231"/>
      <c r="O51" s="231"/>
      <c r="P51" s="231"/>
      <c r="Q51" s="231"/>
      <c r="R51" s="231"/>
    </row>
    <row r="52" ht="14.25" customHeight="1">
      <c r="A52" s="231"/>
      <c r="B52" s="231"/>
      <c r="C52" s="231"/>
      <c r="D52" s="231"/>
      <c r="E52" s="231"/>
      <c r="F52" s="231"/>
      <c r="G52" s="231"/>
      <c r="H52" s="231"/>
      <c r="I52" s="231"/>
      <c r="J52" s="231"/>
      <c r="K52" s="231"/>
      <c r="L52" s="231"/>
      <c r="M52" s="231"/>
      <c r="N52" s="231"/>
      <c r="O52" s="231"/>
      <c r="P52" s="231"/>
      <c r="Q52" s="231"/>
      <c r="R52" s="231"/>
    </row>
    <row r="53" ht="14.25" customHeight="1">
      <c r="A53" s="231"/>
      <c r="B53" s="231"/>
      <c r="C53" s="231"/>
      <c r="D53" s="231"/>
      <c r="E53" s="231"/>
      <c r="F53" s="231"/>
      <c r="G53" s="231"/>
      <c r="H53" s="231"/>
      <c r="I53" s="231"/>
      <c r="J53" s="231"/>
      <c r="K53" s="231"/>
      <c r="L53" s="231"/>
      <c r="M53" s="231"/>
      <c r="N53" s="231"/>
      <c r="O53" s="231"/>
      <c r="P53" s="231"/>
      <c r="Q53" s="231"/>
      <c r="R53" s="231"/>
    </row>
    <row r="54" ht="14.25" customHeight="1">
      <c r="A54" s="231"/>
      <c r="B54" s="231"/>
      <c r="C54" s="231"/>
      <c r="D54" s="231"/>
      <c r="E54" s="231"/>
      <c r="F54" s="231"/>
      <c r="G54" s="231"/>
      <c r="H54" s="231"/>
      <c r="I54" s="231"/>
      <c r="J54" s="231"/>
      <c r="K54" s="231"/>
      <c r="L54" s="231"/>
      <c r="M54" s="231"/>
      <c r="N54" s="231"/>
      <c r="O54" s="231"/>
      <c r="P54" s="231"/>
      <c r="Q54" s="231"/>
      <c r="R54" s="231"/>
    </row>
    <row r="55" ht="14.25" customHeight="1">
      <c r="A55" s="231"/>
      <c r="B55" s="231"/>
      <c r="C55" s="231"/>
      <c r="D55" s="231"/>
      <c r="E55" s="231"/>
      <c r="F55" s="231"/>
      <c r="G55" s="231"/>
      <c r="H55" s="231"/>
      <c r="I55" s="231"/>
      <c r="J55" s="231"/>
      <c r="K55" s="231"/>
      <c r="L55" s="231"/>
      <c r="M55" s="231"/>
      <c r="N55" s="231"/>
      <c r="O55" s="231"/>
      <c r="P55" s="231"/>
      <c r="Q55" s="231"/>
      <c r="R55" s="231"/>
    </row>
    <row r="56" ht="14.25" customHeight="1">
      <c r="A56" s="231"/>
      <c r="B56" s="231"/>
      <c r="C56" s="231"/>
      <c r="D56" s="231"/>
      <c r="E56" s="231"/>
      <c r="F56" s="231"/>
      <c r="G56" s="231"/>
      <c r="H56" s="231"/>
      <c r="I56" s="231"/>
      <c r="J56" s="231"/>
      <c r="K56" s="231"/>
      <c r="L56" s="231"/>
      <c r="M56" s="231"/>
      <c r="N56" s="231"/>
      <c r="O56" s="231"/>
      <c r="P56" s="231"/>
      <c r="Q56" s="231"/>
      <c r="R56" s="231"/>
    </row>
    <row r="57" ht="14.25" customHeight="1">
      <c r="A57" s="231"/>
      <c r="B57" s="231"/>
      <c r="C57" s="231"/>
      <c r="D57" s="231"/>
      <c r="E57" s="231"/>
      <c r="F57" s="231"/>
      <c r="G57" s="231"/>
      <c r="H57" s="231"/>
      <c r="I57" s="231"/>
      <c r="J57" s="231"/>
      <c r="K57" s="231"/>
      <c r="L57" s="231"/>
      <c r="M57" s="231"/>
      <c r="N57" s="231"/>
      <c r="O57" s="231"/>
      <c r="P57" s="231"/>
      <c r="Q57" s="231"/>
      <c r="R57" s="231"/>
    </row>
    <row r="58" ht="14.25" customHeight="1">
      <c r="A58" s="231"/>
      <c r="B58" s="231"/>
      <c r="C58" s="231"/>
      <c r="D58" s="231"/>
      <c r="E58" s="231"/>
      <c r="F58" s="231"/>
      <c r="G58" s="231"/>
      <c r="H58" s="231"/>
      <c r="I58" s="231"/>
      <c r="J58" s="231"/>
      <c r="K58" s="231"/>
      <c r="L58" s="231"/>
      <c r="M58" s="231"/>
      <c r="N58" s="231"/>
      <c r="O58" s="231"/>
      <c r="P58" s="231"/>
      <c r="Q58" s="231"/>
      <c r="R58" s="231"/>
    </row>
    <row r="59" ht="14.25" customHeight="1">
      <c r="A59" s="231"/>
      <c r="B59" s="231"/>
      <c r="C59" s="231"/>
      <c r="D59" s="231"/>
      <c r="E59" s="231"/>
      <c r="F59" s="231"/>
      <c r="G59" s="231"/>
      <c r="H59" s="231"/>
      <c r="I59" s="231"/>
      <c r="J59" s="231"/>
      <c r="K59" s="231"/>
      <c r="L59" s="231"/>
      <c r="M59" s="231"/>
      <c r="N59" s="231"/>
      <c r="O59" s="231"/>
      <c r="P59" s="231"/>
      <c r="Q59" s="231"/>
      <c r="R59" s="231"/>
    </row>
    <row r="60" ht="14.25" customHeight="1">
      <c r="A60" s="231"/>
      <c r="B60" s="231"/>
      <c r="C60" s="231"/>
      <c r="D60" s="231"/>
      <c r="E60" s="231"/>
      <c r="F60" s="231"/>
      <c r="G60" s="231"/>
      <c r="H60" s="231"/>
      <c r="I60" s="231"/>
      <c r="J60" s="231"/>
      <c r="K60" s="231"/>
      <c r="L60" s="231"/>
      <c r="M60" s="231"/>
      <c r="N60" s="231"/>
      <c r="O60" s="231"/>
      <c r="P60" s="231"/>
      <c r="Q60" s="231"/>
      <c r="R60" s="231"/>
    </row>
    <row r="61" ht="14.25" customHeight="1">
      <c r="A61" s="231"/>
      <c r="B61" s="231"/>
      <c r="C61" s="231"/>
      <c r="D61" s="231"/>
      <c r="E61" s="231"/>
      <c r="F61" s="231"/>
      <c r="G61" s="231"/>
      <c r="H61" s="231"/>
      <c r="I61" s="231"/>
      <c r="J61" s="231"/>
      <c r="K61" s="231"/>
      <c r="L61" s="231"/>
      <c r="M61" s="231"/>
      <c r="N61" s="231"/>
      <c r="O61" s="231"/>
      <c r="P61" s="231"/>
      <c r="Q61" s="231"/>
      <c r="R61" s="231"/>
    </row>
    <row r="62" ht="14.25" customHeight="1">
      <c r="A62" s="231"/>
      <c r="B62" s="231"/>
      <c r="C62" s="231"/>
      <c r="D62" s="231"/>
      <c r="E62" s="231"/>
      <c r="F62" s="231"/>
      <c r="G62" s="231"/>
      <c r="H62" s="231"/>
      <c r="I62" s="231"/>
      <c r="J62" s="231"/>
      <c r="K62" s="231"/>
      <c r="L62" s="231"/>
      <c r="M62" s="231"/>
      <c r="N62" s="231"/>
      <c r="O62" s="231"/>
      <c r="P62" s="231"/>
      <c r="Q62" s="231"/>
      <c r="R62" s="231"/>
    </row>
    <row r="63" ht="14.25" customHeight="1">
      <c r="A63" s="231"/>
      <c r="B63" s="231"/>
      <c r="C63" s="231"/>
      <c r="D63" s="231"/>
      <c r="E63" s="231"/>
      <c r="F63" s="231"/>
      <c r="G63" s="231"/>
      <c r="H63" s="231"/>
      <c r="I63" s="231"/>
      <c r="J63" s="231"/>
      <c r="K63" s="231"/>
      <c r="L63" s="231"/>
      <c r="M63" s="231"/>
      <c r="N63" s="231"/>
      <c r="O63" s="231"/>
      <c r="P63" s="231"/>
      <c r="Q63" s="231"/>
      <c r="R63" s="231"/>
    </row>
    <row r="64" ht="14.25" customHeight="1">
      <c r="A64" s="231"/>
      <c r="B64" s="231"/>
      <c r="C64" s="231"/>
      <c r="D64" s="231"/>
      <c r="E64" s="231"/>
      <c r="F64" s="231"/>
      <c r="G64" s="231"/>
      <c r="H64" s="231"/>
      <c r="I64" s="231"/>
      <c r="J64" s="231"/>
      <c r="K64" s="231"/>
      <c r="L64" s="231"/>
      <c r="M64" s="231"/>
      <c r="N64" s="231"/>
      <c r="O64" s="231"/>
      <c r="P64" s="231"/>
      <c r="Q64" s="231"/>
      <c r="R64" s="231"/>
    </row>
    <row r="65" ht="14.25" customHeight="1">
      <c r="A65" s="231"/>
      <c r="B65" s="231"/>
      <c r="C65" s="231"/>
      <c r="D65" s="231"/>
      <c r="E65" s="231"/>
      <c r="F65" s="231"/>
      <c r="G65" s="231"/>
      <c r="H65" s="231"/>
      <c r="I65" s="231"/>
      <c r="J65" s="231"/>
      <c r="K65" s="231"/>
      <c r="L65" s="231"/>
      <c r="M65" s="231"/>
      <c r="N65" s="231"/>
      <c r="O65" s="231"/>
      <c r="P65" s="231"/>
      <c r="Q65" s="231"/>
      <c r="R65" s="231"/>
    </row>
    <row r="66" ht="14.25" customHeight="1">
      <c r="A66" s="231"/>
      <c r="B66" s="231"/>
      <c r="C66" s="231"/>
      <c r="D66" s="231"/>
      <c r="E66" s="231"/>
      <c r="F66" s="231"/>
      <c r="G66" s="231"/>
      <c r="H66" s="231"/>
      <c r="I66" s="231"/>
      <c r="J66" s="231"/>
      <c r="K66" s="231"/>
      <c r="L66" s="231"/>
      <c r="M66" s="231"/>
      <c r="N66" s="231"/>
      <c r="O66" s="231"/>
      <c r="P66" s="231"/>
      <c r="Q66" s="231"/>
      <c r="R66" s="231"/>
    </row>
    <row r="67" ht="14.25" customHeight="1">
      <c r="A67" s="231"/>
      <c r="B67" s="231"/>
      <c r="C67" s="231"/>
      <c r="D67" s="231"/>
      <c r="E67" s="231"/>
      <c r="F67" s="231"/>
      <c r="G67" s="231"/>
      <c r="H67" s="231"/>
      <c r="I67" s="231"/>
      <c r="J67" s="231"/>
      <c r="K67" s="231"/>
      <c r="L67" s="231"/>
      <c r="M67" s="231"/>
      <c r="N67" s="231"/>
      <c r="O67" s="231"/>
      <c r="P67" s="231"/>
      <c r="Q67" s="231"/>
      <c r="R67" s="231"/>
    </row>
    <row r="68" ht="14.25" customHeight="1">
      <c r="A68" s="231"/>
      <c r="B68" s="231"/>
      <c r="C68" s="231"/>
      <c r="D68" s="231"/>
      <c r="E68" s="231"/>
      <c r="F68" s="231"/>
      <c r="G68" s="231"/>
      <c r="H68" s="231"/>
      <c r="I68" s="231"/>
      <c r="J68" s="231"/>
      <c r="K68" s="231"/>
      <c r="L68" s="231"/>
      <c r="M68" s="231"/>
      <c r="N68" s="231"/>
      <c r="O68" s="231"/>
      <c r="P68" s="231"/>
      <c r="Q68" s="231"/>
      <c r="R68" s="231"/>
    </row>
    <row r="69" ht="14.25" customHeight="1">
      <c r="A69" s="231"/>
      <c r="B69" s="231"/>
      <c r="C69" s="231"/>
      <c r="D69" s="231"/>
      <c r="E69" s="231"/>
      <c r="F69" s="231"/>
      <c r="G69" s="231"/>
      <c r="H69" s="231"/>
      <c r="I69" s="231"/>
      <c r="J69" s="231"/>
      <c r="K69" s="231"/>
      <c r="L69" s="231"/>
      <c r="M69" s="231"/>
      <c r="N69" s="231"/>
      <c r="O69" s="231"/>
      <c r="P69" s="231"/>
      <c r="Q69" s="231"/>
      <c r="R69" s="231"/>
    </row>
    <row r="70" ht="14.25" customHeight="1">
      <c r="A70" s="231"/>
      <c r="B70" s="231"/>
      <c r="C70" s="231"/>
      <c r="D70" s="231"/>
      <c r="E70" s="231"/>
      <c r="F70" s="231"/>
      <c r="G70" s="231"/>
      <c r="H70" s="231"/>
      <c r="I70" s="231"/>
      <c r="J70" s="231"/>
      <c r="K70" s="231"/>
      <c r="L70" s="231"/>
      <c r="M70" s="231"/>
      <c r="N70" s="231"/>
      <c r="O70" s="231"/>
      <c r="P70" s="231"/>
      <c r="Q70" s="231"/>
      <c r="R70" s="231"/>
    </row>
    <row r="71" ht="14.25" customHeight="1">
      <c r="A71" s="231"/>
      <c r="B71" s="231"/>
      <c r="C71" s="231"/>
      <c r="D71" s="231"/>
      <c r="E71" s="231"/>
      <c r="F71" s="231"/>
      <c r="G71" s="231"/>
      <c r="H71" s="231"/>
      <c r="I71" s="231"/>
      <c r="J71" s="231"/>
      <c r="K71" s="231"/>
      <c r="L71" s="231"/>
      <c r="M71" s="231"/>
      <c r="N71" s="231"/>
      <c r="O71" s="231"/>
      <c r="P71" s="231"/>
      <c r="Q71" s="231"/>
      <c r="R71" s="231"/>
    </row>
    <row r="72" ht="14.25" customHeight="1">
      <c r="A72" s="231"/>
      <c r="B72" s="231"/>
      <c r="C72" s="231"/>
      <c r="D72" s="231"/>
      <c r="E72" s="231"/>
      <c r="F72" s="231"/>
      <c r="G72" s="231"/>
      <c r="H72" s="231"/>
      <c r="I72" s="231"/>
      <c r="J72" s="231"/>
      <c r="K72" s="231"/>
      <c r="L72" s="231"/>
      <c r="M72" s="231"/>
      <c r="N72" s="231"/>
      <c r="O72" s="231"/>
      <c r="P72" s="231"/>
      <c r="Q72" s="231"/>
      <c r="R72" s="231"/>
    </row>
    <row r="73" ht="14.25" customHeight="1">
      <c r="A73" s="231"/>
      <c r="B73" s="231"/>
      <c r="C73" s="231"/>
      <c r="D73" s="231"/>
      <c r="E73" s="231"/>
      <c r="F73" s="231"/>
      <c r="G73" s="231"/>
      <c r="H73" s="231"/>
      <c r="I73" s="231"/>
      <c r="J73" s="231"/>
      <c r="K73" s="231"/>
      <c r="L73" s="231"/>
      <c r="M73" s="231"/>
      <c r="N73" s="231"/>
      <c r="O73" s="231"/>
      <c r="P73" s="231"/>
      <c r="Q73" s="231"/>
      <c r="R73" s="231"/>
    </row>
    <row r="74" ht="14.25" customHeight="1">
      <c r="A74" s="231"/>
      <c r="B74" s="231"/>
      <c r="C74" s="231"/>
      <c r="D74" s="231"/>
      <c r="E74" s="231"/>
      <c r="F74" s="231"/>
      <c r="G74" s="231"/>
      <c r="H74" s="231"/>
      <c r="I74" s="231"/>
      <c r="J74" s="231"/>
      <c r="K74" s="231"/>
      <c r="L74" s="231"/>
      <c r="M74" s="231"/>
      <c r="N74" s="231"/>
      <c r="O74" s="231"/>
      <c r="P74" s="231"/>
      <c r="Q74" s="231"/>
      <c r="R74" s="231"/>
    </row>
    <row r="75" ht="14.25" customHeight="1">
      <c r="A75" s="231"/>
      <c r="B75" s="231"/>
      <c r="C75" s="231"/>
      <c r="D75" s="231"/>
      <c r="E75" s="231"/>
      <c r="F75" s="231"/>
      <c r="G75" s="231"/>
      <c r="H75" s="231"/>
      <c r="I75" s="231"/>
      <c r="J75" s="231"/>
      <c r="K75" s="231"/>
      <c r="L75" s="231"/>
      <c r="M75" s="231"/>
      <c r="N75" s="231"/>
      <c r="O75" s="231"/>
      <c r="P75" s="231"/>
      <c r="Q75" s="231"/>
      <c r="R75" s="231"/>
    </row>
    <row r="76" ht="14.25" customHeight="1">
      <c r="A76" s="231"/>
      <c r="B76" s="231"/>
      <c r="C76" s="231"/>
      <c r="D76" s="231"/>
      <c r="E76" s="231"/>
      <c r="F76" s="231"/>
      <c r="G76" s="231"/>
      <c r="H76" s="231"/>
      <c r="I76" s="231"/>
      <c r="J76" s="231"/>
      <c r="K76" s="231"/>
      <c r="L76" s="231"/>
      <c r="M76" s="231"/>
      <c r="N76" s="231"/>
      <c r="O76" s="231"/>
      <c r="P76" s="231"/>
      <c r="Q76" s="231"/>
      <c r="R76" s="231"/>
    </row>
    <row r="77" ht="14.25" customHeight="1">
      <c r="A77" s="231"/>
      <c r="B77" s="231"/>
      <c r="C77" s="231"/>
      <c r="D77" s="231"/>
      <c r="E77" s="231"/>
      <c r="F77" s="231"/>
      <c r="G77" s="231"/>
      <c r="H77" s="231"/>
      <c r="I77" s="231"/>
      <c r="J77" s="231"/>
      <c r="K77" s="231"/>
      <c r="L77" s="231"/>
      <c r="M77" s="231"/>
      <c r="N77" s="231"/>
      <c r="O77" s="231"/>
      <c r="P77" s="231"/>
      <c r="Q77" s="231"/>
      <c r="R77" s="231"/>
    </row>
    <row r="78" ht="14.25" customHeight="1">
      <c r="A78" s="231"/>
      <c r="B78" s="231"/>
      <c r="C78" s="231"/>
      <c r="D78" s="231"/>
      <c r="E78" s="231"/>
      <c r="F78" s="231"/>
      <c r="G78" s="231"/>
      <c r="H78" s="231"/>
      <c r="I78" s="231"/>
      <c r="J78" s="231"/>
      <c r="K78" s="231"/>
      <c r="L78" s="231"/>
      <c r="M78" s="231"/>
      <c r="N78" s="231"/>
      <c r="O78" s="231"/>
      <c r="P78" s="231"/>
      <c r="Q78" s="231"/>
      <c r="R78" s="231"/>
    </row>
    <row r="79" ht="14.25" customHeight="1">
      <c r="A79" s="231"/>
      <c r="B79" s="231"/>
      <c r="C79" s="231"/>
      <c r="D79" s="231"/>
      <c r="E79" s="231"/>
      <c r="F79" s="231"/>
      <c r="G79" s="231"/>
      <c r="H79" s="231"/>
      <c r="I79" s="231"/>
      <c r="J79" s="231"/>
      <c r="K79" s="231"/>
      <c r="L79" s="231"/>
      <c r="M79" s="231"/>
      <c r="N79" s="231"/>
      <c r="O79" s="231"/>
      <c r="P79" s="231"/>
      <c r="Q79" s="231"/>
      <c r="R79" s="231"/>
    </row>
    <row r="80" ht="14.25" customHeight="1">
      <c r="A80" s="231"/>
      <c r="B80" s="231"/>
      <c r="C80" s="231"/>
      <c r="D80" s="231"/>
      <c r="E80" s="231"/>
      <c r="F80" s="231"/>
      <c r="G80" s="231"/>
      <c r="H80" s="231"/>
      <c r="I80" s="231"/>
      <c r="J80" s="231"/>
      <c r="K80" s="231"/>
      <c r="L80" s="231"/>
      <c r="M80" s="231"/>
      <c r="N80" s="231"/>
      <c r="O80" s="231"/>
      <c r="P80" s="231"/>
      <c r="Q80" s="231"/>
      <c r="R80" s="231"/>
    </row>
    <row r="81" ht="14.25" customHeight="1">
      <c r="A81" s="231"/>
      <c r="B81" s="231"/>
      <c r="C81" s="231"/>
      <c r="D81" s="231"/>
      <c r="E81" s="231"/>
      <c r="F81" s="231"/>
      <c r="G81" s="231"/>
      <c r="H81" s="231"/>
      <c r="I81" s="231"/>
      <c r="J81" s="231"/>
      <c r="K81" s="231"/>
      <c r="L81" s="231"/>
      <c r="M81" s="231"/>
      <c r="N81" s="231"/>
      <c r="O81" s="231"/>
      <c r="P81" s="231"/>
      <c r="Q81" s="231"/>
      <c r="R81" s="231"/>
    </row>
    <row r="82" ht="14.25" customHeight="1">
      <c r="A82" s="231"/>
      <c r="B82" s="231"/>
      <c r="C82" s="231"/>
      <c r="D82" s="231"/>
      <c r="E82" s="231"/>
      <c r="F82" s="231"/>
      <c r="G82" s="231"/>
      <c r="H82" s="231"/>
      <c r="I82" s="231"/>
      <c r="J82" s="231"/>
      <c r="K82" s="231"/>
      <c r="L82" s="231"/>
      <c r="M82" s="231"/>
      <c r="N82" s="231"/>
      <c r="O82" s="231"/>
      <c r="P82" s="231"/>
      <c r="Q82" s="231"/>
      <c r="R82" s="231"/>
    </row>
    <row r="83" ht="14.25" customHeight="1">
      <c r="A83" s="231"/>
      <c r="B83" s="231"/>
      <c r="C83" s="231"/>
      <c r="D83" s="231"/>
      <c r="E83" s="231"/>
      <c r="F83" s="231"/>
      <c r="G83" s="231"/>
      <c r="H83" s="231"/>
      <c r="I83" s="231"/>
      <c r="J83" s="231"/>
      <c r="K83" s="231"/>
      <c r="L83" s="231"/>
      <c r="M83" s="231"/>
      <c r="N83" s="231"/>
      <c r="O83" s="231"/>
      <c r="P83" s="231"/>
      <c r="Q83" s="231"/>
      <c r="R83" s="231"/>
    </row>
    <row r="84" ht="14.25" customHeight="1">
      <c r="A84" s="231"/>
      <c r="B84" s="231"/>
      <c r="C84" s="231"/>
      <c r="D84" s="231"/>
      <c r="E84" s="231"/>
      <c r="F84" s="231"/>
      <c r="G84" s="231"/>
      <c r="H84" s="231"/>
      <c r="I84" s="231"/>
      <c r="J84" s="231"/>
      <c r="K84" s="231"/>
      <c r="L84" s="231"/>
      <c r="M84" s="231"/>
      <c r="N84" s="231"/>
      <c r="O84" s="231"/>
      <c r="P84" s="231"/>
      <c r="Q84" s="231"/>
      <c r="R84" s="231"/>
    </row>
    <row r="85" ht="14.25" customHeight="1">
      <c r="A85" s="231"/>
      <c r="B85" s="231"/>
      <c r="C85" s="231"/>
      <c r="D85" s="231"/>
      <c r="E85" s="231"/>
      <c r="F85" s="231"/>
      <c r="G85" s="231"/>
      <c r="H85" s="231"/>
      <c r="I85" s="231"/>
      <c r="J85" s="231"/>
      <c r="K85" s="231"/>
      <c r="L85" s="231"/>
      <c r="M85" s="231"/>
      <c r="N85" s="231"/>
      <c r="O85" s="231"/>
      <c r="P85" s="231"/>
      <c r="Q85" s="231"/>
      <c r="R85" s="231"/>
    </row>
    <row r="86" ht="14.25" customHeight="1">
      <c r="A86" s="231"/>
      <c r="B86" s="231"/>
      <c r="C86" s="231"/>
      <c r="D86" s="231"/>
      <c r="E86" s="231"/>
      <c r="F86" s="231"/>
      <c r="G86" s="231"/>
      <c r="H86" s="231"/>
      <c r="I86" s="231"/>
      <c r="J86" s="231"/>
      <c r="K86" s="231"/>
      <c r="L86" s="231"/>
      <c r="M86" s="231"/>
      <c r="N86" s="231"/>
      <c r="O86" s="231"/>
      <c r="P86" s="231"/>
      <c r="Q86" s="231"/>
      <c r="R86" s="231"/>
    </row>
    <row r="87" ht="14.25" customHeight="1">
      <c r="A87" s="231"/>
      <c r="B87" s="231"/>
      <c r="C87" s="231"/>
      <c r="D87" s="231"/>
      <c r="E87" s="231"/>
      <c r="F87" s="231"/>
      <c r="G87" s="231"/>
      <c r="H87" s="231"/>
      <c r="I87" s="231"/>
      <c r="J87" s="231"/>
      <c r="K87" s="231"/>
      <c r="L87" s="231"/>
      <c r="M87" s="231"/>
      <c r="N87" s="231"/>
      <c r="O87" s="231"/>
      <c r="P87" s="231"/>
      <c r="Q87" s="231"/>
      <c r="R87" s="231"/>
    </row>
    <row r="88" ht="14.25" customHeight="1">
      <c r="A88" s="231"/>
      <c r="B88" s="231"/>
      <c r="C88" s="231"/>
      <c r="D88" s="231"/>
      <c r="E88" s="231"/>
      <c r="F88" s="231"/>
      <c r="G88" s="231"/>
      <c r="H88" s="231"/>
      <c r="I88" s="231"/>
      <c r="J88" s="231"/>
      <c r="K88" s="231"/>
      <c r="L88" s="231"/>
      <c r="M88" s="231"/>
      <c r="N88" s="231"/>
      <c r="O88" s="231"/>
      <c r="P88" s="231"/>
      <c r="Q88" s="231"/>
      <c r="R88" s="231"/>
    </row>
    <row r="89" ht="14.25" customHeight="1">
      <c r="A89" s="231"/>
      <c r="B89" s="231"/>
      <c r="C89" s="231"/>
      <c r="D89" s="231"/>
      <c r="E89" s="231"/>
      <c r="F89" s="231"/>
      <c r="G89" s="231"/>
      <c r="H89" s="231"/>
      <c r="I89" s="231"/>
      <c r="J89" s="231"/>
      <c r="K89" s="231"/>
      <c r="L89" s="231"/>
      <c r="M89" s="231"/>
      <c r="N89" s="231"/>
      <c r="O89" s="231"/>
      <c r="P89" s="231"/>
      <c r="Q89" s="231"/>
      <c r="R89" s="231"/>
    </row>
    <row r="90" ht="14.25" customHeight="1">
      <c r="A90" s="231"/>
      <c r="B90" s="231"/>
      <c r="C90" s="231"/>
      <c r="D90" s="231"/>
      <c r="E90" s="231"/>
      <c r="F90" s="231"/>
      <c r="G90" s="231"/>
      <c r="H90" s="231"/>
      <c r="I90" s="231"/>
      <c r="J90" s="231"/>
      <c r="K90" s="231"/>
      <c r="L90" s="231"/>
      <c r="M90" s="231"/>
      <c r="N90" s="231"/>
      <c r="O90" s="231"/>
      <c r="P90" s="231"/>
      <c r="Q90" s="231"/>
      <c r="R90" s="231"/>
    </row>
    <row r="91" ht="14.25" customHeight="1">
      <c r="A91" s="231"/>
      <c r="B91" s="231"/>
      <c r="C91" s="231"/>
      <c r="D91" s="231"/>
      <c r="E91" s="231"/>
      <c r="F91" s="231"/>
      <c r="G91" s="231"/>
      <c r="H91" s="231"/>
      <c r="I91" s="231"/>
      <c r="J91" s="231"/>
      <c r="K91" s="231"/>
      <c r="L91" s="231"/>
      <c r="M91" s="231"/>
      <c r="N91" s="231"/>
      <c r="O91" s="231"/>
      <c r="P91" s="231"/>
      <c r="Q91" s="231"/>
      <c r="R91" s="231"/>
    </row>
    <row r="92" ht="14.25" customHeight="1">
      <c r="A92" s="231"/>
      <c r="B92" s="231"/>
      <c r="C92" s="231"/>
      <c r="D92" s="231"/>
      <c r="E92" s="231"/>
      <c r="F92" s="231"/>
      <c r="G92" s="231"/>
      <c r="H92" s="231"/>
      <c r="I92" s="231"/>
      <c r="J92" s="231"/>
      <c r="K92" s="231"/>
      <c r="L92" s="231"/>
      <c r="M92" s="231"/>
      <c r="N92" s="231"/>
      <c r="O92" s="231"/>
      <c r="P92" s="231"/>
      <c r="Q92" s="231"/>
      <c r="R92" s="231"/>
    </row>
    <row r="93" ht="14.25" customHeight="1">
      <c r="A93" s="231"/>
      <c r="B93" s="231"/>
      <c r="C93" s="231"/>
      <c r="D93" s="231"/>
      <c r="E93" s="231"/>
      <c r="F93" s="231"/>
      <c r="G93" s="231"/>
      <c r="H93" s="231"/>
      <c r="I93" s="231"/>
      <c r="J93" s="231"/>
      <c r="K93" s="231"/>
      <c r="L93" s="231"/>
      <c r="M93" s="231"/>
      <c r="N93" s="231"/>
      <c r="O93" s="231"/>
      <c r="P93" s="231"/>
      <c r="Q93" s="231"/>
      <c r="R93" s="231"/>
    </row>
    <row r="94" ht="14.25" customHeight="1">
      <c r="A94" s="231"/>
      <c r="B94" s="231"/>
      <c r="C94" s="231"/>
      <c r="D94" s="231"/>
      <c r="E94" s="231"/>
      <c r="F94" s="231"/>
      <c r="G94" s="231"/>
      <c r="H94" s="231"/>
      <c r="I94" s="231"/>
      <c r="J94" s="231"/>
      <c r="K94" s="231"/>
      <c r="L94" s="231"/>
      <c r="M94" s="231"/>
      <c r="N94" s="231"/>
      <c r="O94" s="231"/>
      <c r="P94" s="231"/>
      <c r="Q94" s="231"/>
      <c r="R94" s="231"/>
    </row>
    <row r="95" ht="14.25" customHeight="1">
      <c r="A95" s="231"/>
      <c r="B95" s="231"/>
      <c r="C95" s="231"/>
      <c r="D95" s="231"/>
      <c r="E95" s="231"/>
      <c r="F95" s="231"/>
      <c r="G95" s="231"/>
      <c r="H95" s="231"/>
      <c r="I95" s="231"/>
      <c r="J95" s="231"/>
      <c r="K95" s="231"/>
      <c r="L95" s="231"/>
      <c r="M95" s="231"/>
      <c r="N95" s="231"/>
      <c r="O95" s="231"/>
      <c r="P95" s="231"/>
      <c r="Q95" s="231"/>
      <c r="R95" s="231"/>
    </row>
    <row r="96" ht="14.25" customHeight="1">
      <c r="A96" s="231"/>
      <c r="B96" s="231"/>
      <c r="C96" s="231"/>
      <c r="D96" s="231"/>
      <c r="E96" s="231"/>
      <c r="F96" s="231"/>
      <c r="G96" s="231"/>
      <c r="H96" s="231"/>
      <c r="I96" s="231"/>
      <c r="J96" s="231"/>
      <c r="K96" s="231"/>
      <c r="L96" s="231"/>
      <c r="M96" s="231"/>
      <c r="N96" s="231"/>
      <c r="O96" s="231"/>
      <c r="P96" s="231"/>
      <c r="Q96" s="231"/>
      <c r="R96" s="231"/>
    </row>
    <row r="97" ht="14.25" customHeight="1">
      <c r="A97" s="231"/>
      <c r="B97" s="231"/>
      <c r="C97" s="231"/>
      <c r="D97" s="231"/>
      <c r="E97" s="231"/>
      <c r="F97" s="231"/>
      <c r="G97" s="231"/>
      <c r="H97" s="231"/>
      <c r="I97" s="231"/>
      <c r="J97" s="231"/>
      <c r="K97" s="231"/>
      <c r="L97" s="231"/>
      <c r="M97" s="231"/>
      <c r="N97" s="231"/>
      <c r="O97" s="231"/>
      <c r="P97" s="231"/>
      <c r="Q97" s="231"/>
      <c r="R97" s="231"/>
    </row>
    <row r="98" ht="14.25" customHeight="1">
      <c r="A98" s="231"/>
      <c r="B98" s="231"/>
      <c r="C98" s="231"/>
      <c r="D98" s="231"/>
      <c r="E98" s="231"/>
      <c r="F98" s="231"/>
      <c r="G98" s="231"/>
      <c r="H98" s="231"/>
      <c r="I98" s="231"/>
      <c r="J98" s="231"/>
      <c r="K98" s="231"/>
      <c r="L98" s="231"/>
      <c r="M98" s="231"/>
      <c r="N98" s="231"/>
      <c r="O98" s="231"/>
      <c r="P98" s="231"/>
      <c r="Q98" s="231"/>
      <c r="R98" s="231"/>
    </row>
    <row r="99" ht="14.25" customHeight="1">
      <c r="A99" s="231"/>
      <c r="B99" s="231"/>
      <c r="C99" s="231"/>
      <c r="D99" s="231"/>
      <c r="E99" s="231"/>
      <c r="F99" s="231"/>
      <c r="G99" s="231"/>
      <c r="H99" s="231"/>
      <c r="I99" s="231"/>
      <c r="J99" s="231"/>
      <c r="K99" s="231"/>
      <c r="L99" s="231"/>
      <c r="M99" s="231"/>
      <c r="N99" s="231"/>
      <c r="O99" s="231"/>
      <c r="P99" s="231"/>
      <c r="Q99" s="231"/>
      <c r="R99" s="231"/>
    </row>
    <row r="100" ht="14.25" customHeight="1">
      <c r="A100" s="231"/>
      <c r="B100" s="231"/>
      <c r="C100" s="231"/>
      <c r="D100" s="231"/>
      <c r="E100" s="231"/>
      <c r="F100" s="231"/>
      <c r="G100" s="231"/>
      <c r="H100" s="231"/>
      <c r="I100" s="231"/>
      <c r="J100" s="231"/>
      <c r="K100" s="231"/>
      <c r="L100" s="231"/>
      <c r="M100" s="231"/>
      <c r="N100" s="231"/>
      <c r="O100" s="231"/>
      <c r="P100" s="231"/>
      <c r="Q100" s="231"/>
      <c r="R100" s="231"/>
    </row>
  </sheetData>
  <mergeCells count="3">
    <mergeCell ref="A1:F1"/>
    <mergeCell ref="A2:H2"/>
    <mergeCell ref="A50:I50"/>
  </mergeCells>
  <conditionalFormatting sqref="B36:F38 B37:H37">
    <cfRule type="cellIs" dxfId="1" priority="1" operator="lessThan">
      <formula>0</formula>
    </cfRule>
  </conditionalFormatting>
  <conditionalFormatting sqref="G36:G38">
    <cfRule type="cellIs" dxfId="1" priority="2" operator="lessThan">
      <formula>0</formula>
    </cfRule>
  </conditionalFormatting>
  <conditionalFormatting sqref="H36:H38">
    <cfRule type="cellIs" dxfId="1" priority="3" operator="lessThan">
      <formula>0</formula>
    </cfRule>
  </conditionalFormatting>
  <printOptions/>
  <pageMargins bottom="0.75" footer="0.0" header="0.0" left="0.7" right="0.7" top="0.75"/>
  <pageSetup scale="67" orientation="portrait"/>
  <drawing r:id="rId1"/>
</worksheet>
</file>

<file path=docProps/app.xml><?xml version="1.0" encoding="utf-8"?>
<Properties xmlns="http://schemas.openxmlformats.org/officeDocument/2006/extended-properties" xmlns:vt="http://schemas.openxmlformats.org/officeDocument/2006/docPropsVTypes">
  <ScaleCrop>false</ScaleCrop>
  <HeadingPairs>
    <vt:vector baseType="variant" size="4">
      <vt:variant>
        <vt:lpstr>Worksheets</vt:lpstr>
      </vt:variant>
      <vt:variant>
        <vt:i4>23</vt:i4>
      </vt:variant>
      <vt:variant>
        <vt:lpstr>Named Ranges</vt:lpstr>
      </vt:variant>
      <vt:variant>
        <vt:i4>17</vt:i4>
      </vt:variant>
    </vt:vector>
  </HeadingPairs>
  <TitlesOfParts>
    <vt:vector baseType="lpstr" size="40">
      <vt:lpstr>Note for users</vt:lpstr>
      <vt:lpstr>1.Project Cost and MOF</vt:lpstr>
      <vt:lpstr>2.Capex Details</vt:lpstr>
      <vt:lpstr>3.Other Exp &amp; Taxes</vt:lpstr>
      <vt:lpstr>Sheet1</vt:lpstr>
      <vt:lpstr>4.TL repayment sch</vt:lpstr>
      <vt:lpstr>5.Closing Stock &amp; W Capital</vt:lpstr>
      <vt:lpstr>6.Cons Profit &amp; Loss</vt:lpstr>
      <vt:lpstr>7.Balance Sheet</vt:lpstr>
      <vt:lpstr>8.Cash Flow</vt:lpstr>
      <vt:lpstr>9.1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vt:lpstr>
      <vt:lpstr>VGF</vt:lpstr>
      <vt:lpstr>Output</vt:lpstr>
      <vt:lpstr>Sheet2</vt:lpstr>
      <vt:lpstr>Sheet3</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'9.1 Financial indiacators'!Print_Area</vt:lpstr>
    </vt:vector>
  </TitlesOfParts>
  <LinksUpToDate>false</LinksUpToDate>
  <SharedDoc>false</SharedDoc>
  <HyperlinksChanged>false</HyperlinksChanged>
  <Application>Microsoft Excel</Application>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creator/>
  <cp:lastModifiedBy/>
  <dcterms:modified xsi:type="dcterms:W3CDTF">2022-09-28T11:36:37Z</dcterms:modified>
</cp:coreProperties>
</file>